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34245" yWindow="-480" windowWidth="28935" windowHeight="18795" tabRatio="500"/>
  </bookViews>
  <sheets>
    <sheet name="Sheet1" sheetId="1" r:id="rId1"/>
    <sheet name="Sheet2" sheetId="2" r:id="rId2"/>
  </sheets>
  <definedNames>
    <definedName name="_xlnm.Print_Area" localSheetId="0">Sheet1!$B$1:$G$163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F32" i="1"/>
  <c r="F27" i="1"/>
  <c r="C133" i="1"/>
  <c r="D133" i="1" s="1"/>
  <c r="C129" i="1"/>
  <c r="F30" i="1"/>
  <c r="C162" i="1" s="1"/>
  <c r="F26" i="1"/>
  <c r="C134" i="1"/>
  <c r="D134" i="1" s="1"/>
  <c r="C141" i="1" s="1"/>
  <c r="C130" i="1"/>
  <c r="C160" i="1"/>
  <c r="F33" i="1"/>
  <c r="C108" i="1" s="1"/>
  <c r="E108" i="1" s="1"/>
  <c r="C158" i="1"/>
  <c r="F34" i="1"/>
  <c r="C109" i="1" s="1"/>
  <c r="E109" i="1" s="1"/>
  <c r="G109" i="1" s="1"/>
  <c r="E65" i="1"/>
  <c r="E66" i="1"/>
  <c r="E68" i="1"/>
  <c r="E69" i="1"/>
  <c r="E71" i="1"/>
  <c r="E72" i="1"/>
  <c r="E74" i="1"/>
  <c r="E75" i="1"/>
  <c r="F90" i="1"/>
  <c r="G90" i="1" s="1"/>
  <c r="F104" i="1" s="1"/>
  <c r="F109" i="1"/>
  <c r="E67" i="1"/>
  <c r="E70" i="1"/>
  <c r="F91" i="1" s="1"/>
  <c r="G91" i="1" s="1"/>
  <c r="F105" i="1" s="1"/>
  <c r="E73" i="1"/>
  <c r="E76" i="1"/>
  <c r="E77" i="1"/>
  <c r="E78" i="1"/>
  <c r="E79" i="1"/>
  <c r="E80" i="1"/>
  <c r="E81" i="1"/>
  <c r="E82" i="1"/>
  <c r="E83" i="1"/>
  <c r="E84" i="1"/>
  <c r="E85" i="1"/>
  <c r="E86" i="1"/>
  <c r="F110" i="1"/>
  <c r="E64" i="1"/>
  <c r="C89" i="1" s="1"/>
  <c r="D89" i="1" s="1"/>
  <c r="F98" i="1" s="1"/>
  <c r="F108" i="1"/>
  <c r="G108" i="1" s="1"/>
  <c r="C90" i="1"/>
  <c r="D90" i="1" s="1"/>
  <c r="F99" i="1" s="1"/>
  <c r="F29" i="1"/>
  <c r="C100" i="1" s="1"/>
  <c r="E100" i="1" s="1"/>
  <c r="D47" i="1"/>
  <c r="F31" i="1"/>
  <c r="G102" i="1"/>
  <c r="G107" i="1"/>
  <c r="C146" i="1"/>
  <c r="C147" i="1"/>
  <c r="C154" i="1" s="1"/>
  <c r="C150" i="1"/>
  <c r="C149" i="1"/>
  <c r="C148" i="1"/>
  <c r="D130" i="1"/>
  <c r="D129" i="1"/>
  <c r="D49" i="1"/>
  <c r="E49" i="1"/>
  <c r="F28" i="1"/>
  <c r="C120" i="1" l="1"/>
  <c r="D120" i="1" s="1"/>
  <c r="G98" i="1"/>
  <c r="C139" i="1"/>
  <c r="C138" i="1"/>
  <c r="G99" i="1"/>
  <c r="C121" i="1"/>
  <c r="D121" i="1" s="1"/>
  <c r="C153" i="1"/>
  <c r="C155" i="1"/>
  <c r="C98" i="1"/>
  <c r="E98" i="1" s="1"/>
  <c r="C91" i="1"/>
  <c r="D91" i="1" s="1"/>
  <c r="F100" i="1" s="1"/>
  <c r="F89" i="1"/>
  <c r="G89" i="1" s="1"/>
  <c r="F103" i="1" s="1"/>
  <c r="C110" i="1"/>
  <c r="E110" i="1" s="1"/>
  <c r="G110" i="1" s="1"/>
  <c r="C140" i="1"/>
  <c r="D104" i="1"/>
  <c r="C99" i="1"/>
  <c r="E99" i="1" s="1"/>
  <c r="C137" i="1"/>
  <c r="C103" i="1" s="1"/>
  <c r="C104" i="1"/>
  <c r="E104" i="1" s="1"/>
  <c r="C116" i="1" s="1"/>
  <c r="D116" i="1" s="1"/>
  <c r="C142" i="1"/>
  <c r="D105" i="1" s="1"/>
  <c r="C105" i="1"/>
  <c r="D103" i="1"/>
  <c r="E105" i="1" l="1"/>
  <c r="G104" i="1"/>
  <c r="C122" i="1"/>
  <c r="D122" i="1" s="1"/>
  <c r="G100" i="1"/>
  <c r="E103" i="1"/>
  <c r="C115" i="1" s="1"/>
  <c r="D115" i="1" s="1"/>
  <c r="G103" i="1" l="1"/>
  <c r="C117" i="1"/>
  <c r="D117" i="1" s="1"/>
  <c r="G105" i="1"/>
</calcChain>
</file>

<file path=xl/sharedStrings.xml><?xml version="1.0" encoding="utf-8"?>
<sst xmlns="http://schemas.openxmlformats.org/spreadsheetml/2006/main" count="197" uniqueCount="174">
  <si>
    <t>Material</t>
  </si>
  <si>
    <t>Species</t>
  </si>
  <si>
    <t>Grade</t>
  </si>
  <si>
    <t>Service Condition</t>
  </si>
  <si>
    <t>System Factor</t>
  </si>
  <si>
    <t>Treatment Factor</t>
  </si>
  <si>
    <t>D Fir-L</t>
  </si>
  <si>
    <t>Hem-Fir</t>
  </si>
  <si>
    <t>Spruce-Pine-Fir</t>
  </si>
  <si>
    <t>Northern</t>
  </si>
  <si>
    <t>Structural Select</t>
  </si>
  <si>
    <t>No. 1</t>
  </si>
  <si>
    <t>No. 2</t>
  </si>
  <si>
    <t>No. 3</t>
  </si>
  <si>
    <t>Stud</t>
  </si>
  <si>
    <t>Duration Factor</t>
  </si>
  <si>
    <t>Short Term</t>
  </si>
  <si>
    <t>Standard Term</t>
  </si>
  <si>
    <t>Long Term</t>
  </si>
  <si>
    <t>Category</t>
  </si>
  <si>
    <t>Wet</t>
  </si>
  <si>
    <t>Dry</t>
  </si>
  <si>
    <t>Incised</t>
  </si>
  <si>
    <t>Unincised</t>
  </si>
  <si>
    <t>more than 3 members &lt;610 mm apart</t>
  </si>
  <si>
    <t>not mutually supported</t>
  </si>
  <si>
    <t>Construction or Standard</t>
  </si>
  <si>
    <t>Select or Commercial</t>
  </si>
  <si>
    <t>number of rows of bolts</t>
  </si>
  <si>
    <t>Combination</t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</si>
  <si>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</si>
  <si>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</si>
  <si>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</si>
  <si>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</si>
  <si>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</si>
  <si>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</si>
  <si>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</si>
  <si>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</si>
  <si>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</si>
  <si>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</si>
  <si>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</si>
  <si>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</si>
  <si>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</si>
  <si>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</si>
  <si>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</si>
  <si>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</si>
  <si>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</si>
  <si>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</si>
  <si>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</si>
  <si>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</si>
  <si>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</si>
  <si>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</si>
  <si>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</si>
  <si>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</si>
  <si>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</si>
  <si>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</si>
  <si>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</si>
  <si>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</si>
  <si>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</si>
  <si>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</si>
  <si>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</si>
  <si>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</si>
  <si>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</si>
  <si>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</si>
  <si>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</si>
  <si>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</si>
  <si>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</si>
  <si>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</si>
  <si>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</si>
  <si>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</si>
  <si>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</si>
  <si>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</si>
  <si>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</si>
  <si>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t>5d</t>
  </si>
  <si>
    <t>1.0D + 1.0E + 0.5L + 0.25S</t>
  </si>
  <si>
    <t>x</t>
  </si>
  <si>
    <t>y</t>
  </si>
  <si>
    <t>E</t>
  </si>
  <si>
    <t>Effective Length for bending members</t>
  </si>
  <si>
    <t>any loading</t>
  </si>
  <si>
    <t>uniformly distributed load</t>
  </si>
  <si>
    <t>concentrated load at centre</t>
  </si>
  <si>
    <t>Effective Length (Le) for Bending Members</t>
  </si>
  <si>
    <t>Mr (Kd=0.65)</t>
  </si>
  <si>
    <t>Mr (Kd=1.0)</t>
  </si>
  <si>
    <t>Mr (Kd=1.15)</t>
  </si>
  <si>
    <t>Combination Case</t>
  </si>
  <si>
    <t>Ultimate Limit States</t>
  </si>
  <si>
    <t>Tension</t>
  </si>
  <si>
    <t>Compression</t>
  </si>
  <si>
    <t>Calculated</t>
  </si>
  <si>
    <t>Moment</t>
  </si>
  <si>
    <t>Applied Moment (kN.m)</t>
  </si>
  <si>
    <t>Dead Load (kN)</t>
  </si>
  <si>
    <t>Live Load (kN)</t>
  </si>
  <si>
    <t>Wind Load (kN)</t>
  </si>
  <si>
    <t>Snow Load (kN)</t>
  </si>
  <si>
    <t>Earthquake Load (kN)</t>
  </si>
  <si>
    <t>Intermediate Calculations</t>
  </si>
  <si>
    <t>Combined Bending and Axial Load</t>
  </si>
  <si>
    <t>Light framing</t>
  </si>
  <si>
    <t>Structural light framing</t>
  </si>
  <si>
    <t>Structural joist and planks</t>
  </si>
  <si>
    <t>Beam and stringer</t>
  </si>
  <si>
    <t>Post and timber</t>
  </si>
  <si>
    <t>Plank decking</t>
  </si>
  <si>
    <t>FAIL?</t>
  </si>
  <si>
    <t>Results</t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</si>
  <si>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</si>
  <si>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</si>
  <si>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</si>
  <si>
    <r>
      <t>K</t>
    </r>
    <r>
      <rPr>
        <vertAlign val="subscript"/>
        <sz val="11"/>
        <color theme="1"/>
        <rFont val="Calibri"/>
        <family val="2"/>
        <scheme val="minor"/>
      </rPr>
      <t>ST</t>
    </r>
  </si>
  <si>
    <r>
      <t>K</t>
    </r>
    <r>
      <rPr>
        <vertAlign val="subscript"/>
        <sz val="11"/>
        <color theme="1"/>
        <rFont val="Calibri"/>
        <family val="2"/>
        <scheme val="minor"/>
      </rPr>
      <t>SE</t>
    </r>
  </si>
  <si>
    <r>
      <t>K</t>
    </r>
    <r>
      <rPr>
        <vertAlign val="subscript"/>
        <sz val="11"/>
        <color theme="1"/>
        <rFont val="Calibri"/>
        <family val="2"/>
        <scheme val="minor"/>
      </rPr>
      <t>ZT</t>
    </r>
  </si>
  <si>
    <r>
      <t>K</t>
    </r>
    <r>
      <rPr>
        <vertAlign val="subscript"/>
        <sz val="11"/>
        <color theme="1"/>
        <rFont val="Calibri"/>
        <family val="2"/>
        <scheme val="minor"/>
      </rPr>
      <t>sc</t>
    </r>
  </si>
  <si>
    <r>
      <t>K</t>
    </r>
    <r>
      <rPr>
        <vertAlign val="subscript"/>
        <sz val="11"/>
        <color theme="1"/>
        <rFont val="Calibri"/>
        <family val="2"/>
        <scheme val="minor"/>
      </rPr>
      <t>Sb</t>
    </r>
  </si>
  <si>
    <r>
      <t>K</t>
    </r>
    <r>
      <rPr>
        <vertAlign val="subscript"/>
        <sz val="11"/>
        <color theme="1"/>
        <rFont val="Calibri"/>
        <family val="2"/>
        <scheme val="minor"/>
      </rPr>
      <t>Zb</t>
    </r>
  </si>
  <si>
    <r>
      <t>A</t>
    </r>
    <r>
      <rPr>
        <vertAlign val="subscript"/>
        <sz val="11"/>
        <color theme="1"/>
        <rFont val="Calibri"/>
        <family val="2"/>
        <scheme val="minor"/>
      </rPr>
      <t>n/</t>
    </r>
    <r>
      <rPr>
        <sz val="11"/>
        <color theme="1"/>
        <rFont val="Calibri"/>
        <family val="2"/>
        <scheme val="minor"/>
      </rPr>
      <t xml:space="preserve"> A</t>
    </r>
    <r>
      <rPr>
        <vertAlign val="subscript"/>
        <sz val="11"/>
        <color theme="1"/>
        <rFont val="Calibri"/>
        <family val="2"/>
        <scheme val="minor"/>
      </rPr>
      <t>g</t>
    </r>
  </si>
  <si>
    <r>
      <t>K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</si>
  <si>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K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</si>
  <si>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K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</si>
  <si>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</si>
  <si>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</si>
  <si>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Maximum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 (T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</si>
  <si>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Maximum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 (T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</si>
  <si>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Maximum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 (T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</si>
  <si>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</si>
  <si>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</si>
  <si>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</si>
  <si>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</si>
  <si>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</si>
  <si>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</si>
  <si>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Governing 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(kN)</t>
    </r>
  </si>
  <si>
    <r>
      <t>Governing 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(kN)</t>
    </r>
  </si>
  <si>
    <r>
      <t>Governing M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(kN.m)</t>
    </r>
  </si>
  <si>
    <r>
      <t>Applied M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(kN.m)</t>
    </r>
  </si>
  <si>
    <r>
      <t>Applied P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(kN)</t>
    </r>
  </si>
  <si>
    <r>
      <t>Applied 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(kN)</t>
    </r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</si>
  <si>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(MPa)</t>
    </r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</si>
  <si>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(MPa)</t>
    </r>
  </si>
  <si>
    <r>
      <t>f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(MPa)</t>
    </r>
  </si>
  <si>
    <r>
      <t>Gross Area (A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</si>
  <si>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Net Area (A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</si>
  <si>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bolt diameter (mm)</t>
  </si>
  <si>
    <t>Length (mm)</t>
  </si>
  <si>
    <t>Width b (mm)</t>
  </si>
  <si>
    <t>Depth d (mm)</t>
  </si>
  <si>
    <r>
      <t>E</t>
    </r>
    <r>
      <rPr>
        <vertAlign val="subscript"/>
        <sz val="11"/>
        <color theme="1"/>
        <rFont val="Calibri"/>
        <family val="2"/>
        <scheme val="minor"/>
      </rPr>
      <t>05</t>
    </r>
  </si>
  <si>
    <r>
      <t>for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</t>
    </r>
  </si>
  <si>
    <r>
      <t>for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</t>
    </r>
  </si>
  <si>
    <r>
      <t>for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</t>
    </r>
  </si>
  <si>
    <r>
      <t>C</t>
    </r>
    <r>
      <rPr>
        <vertAlign val="subscript"/>
        <sz val="11"/>
        <color theme="1"/>
        <rFont val="Calibri"/>
        <family val="2"/>
        <scheme val="minor"/>
      </rPr>
      <t>cx</t>
    </r>
  </si>
  <si>
    <r>
      <t>C</t>
    </r>
    <r>
      <rPr>
        <vertAlign val="subscript"/>
        <sz val="11"/>
        <color theme="1"/>
        <rFont val="Calibri"/>
        <family val="2"/>
        <scheme val="minor"/>
      </rPr>
      <t>cy</t>
    </r>
  </si>
  <si>
    <r>
      <t>K</t>
    </r>
    <r>
      <rPr>
        <vertAlign val="subscript"/>
        <sz val="11"/>
        <color theme="1"/>
        <rFont val="Calibri"/>
        <family val="2"/>
        <scheme val="minor"/>
      </rPr>
      <t>zcx</t>
    </r>
  </si>
  <si>
    <r>
      <t>K</t>
    </r>
    <r>
      <rPr>
        <vertAlign val="subscript"/>
        <sz val="11"/>
        <color theme="1"/>
        <rFont val="Calibri"/>
        <family val="2"/>
        <scheme val="minor"/>
      </rPr>
      <t>zcy</t>
    </r>
  </si>
  <si>
    <r>
      <t>K</t>
    </r>
    <r>
      <rPr>
        <vertAlign val="subscript"/>
        <sz val="11"/>
        <color theme="1"/>
        <rFont val="Calibri"/>
        <family val="2"/>
        <scheme val="minor"/>
      </rPr>
      <t>cx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</si>
  <si>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K</t>
    </r>
    <r>
      <rPr>
        <vertAlign val="subscript"/>
        <sz val="11"/>
        <color theme="1"/>
        <rFont val="Calibri"/>
        <family val="2"/>
        <scheme val="minor"/>
      </rPr>
      <t>cx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</si>
  <si>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K</t>
    </r>
    <r>
      <rPr>
        <vertAlign val="subscript"/>
        <sz val="11"/>
        <color theme="1"/>
        <rFont val="Calibri"/>
        <family val="2"/>
        <scheme val="minor"/>
      </rPr>
      <t>cx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</si>
  <si>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K</t>
    </r>
    <r>
      <rPr>
        <vertAlign val="subscript"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</si>
  <si>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K</t>
    </r>
    <r>
      <rPr>
        <vertAlign val="subscript"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</si>
  <si>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K</t>
    </r>
    <r>
      <rPr>
        <vertAlign val="subscript"/>
        <sz val="11"/>
        <color theme="1"/>
        <rFont val="Calibri"/>
        <family val="2"/>
        <scheme val="minor"/>
      </rPr>
      <t>cy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</si>
  <si>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</si>
  <si>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</si>
  <si>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</si>
  <si>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</t>
    </r>
  </si>
  <si>
    <r>
      <t>I (mm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</si>
  <si>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S (mm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</si>
  <si>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Fail?</t>
  </si>
  <si>
    <r>
      <t>75% 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&lt; A</t>
    </r>
    <r>
      <rPr>
        <vertAlign val="subscript"/>
        <sz val="11"/>
        <color theme="1"/>
        <rFont val="Calibri"/>
        <family val="2"/>
        <scheme val="minor"/>
      </rPr>
      <t>n</t>
    </r>
  </si>
  <si>
    <r>
      <t>Minimum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=0.65) (P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</si>
  <si>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Minimum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=1.15) (P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</si>
  <si>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Minimum (K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=1.0) (P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</si>
  <si>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Loads - Positive values indicate tension</t>
  </si>
  <si>
    <r>
      <t>K</t>
    </r>
    <r>
      <rPr>
        <vertAlign val="subscript"/>
        <sz val="11"/>
        <color theme="1"/>
        <rFont val="Calibri"/>
        <family val="2"/>
        <scheme val="minor"/>
      </rPr>
      <t>ZC</t>
    </r>
    <r>
      <rPr>
        <sz val="11"/>
        <color theme="1"/>
        <rFont val="Calibri"/>
        <family val="2"/>
        <scheme val="minor"/>
      </rPr>
      <t xml:space="preserve"> &lt; 1.3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</si>
</sst>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Gill Sans MT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7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6" xfId="0" applyBorder="1"/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0" fillId="0" borderId="15" xfId="0" applyBorder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0" fillId="0" borderId="18" xfId="0" applyBorder="1"/>
    <xf numFmtId="0" fontId="0" fillId="0" borderId="22" xfId="0" applyBorder="1"/>
    <xf numFmtId="0" fontId="7" fillId="0" borderId="21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6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10" fillId="0" borderId="0" xfId="0" applyFont="1" applyFill="1" applyBorder="1"/>
    <xf numFmtId="0" fontId="9" fillId="0" borderId="6" xfId="0" applyFont="1" applyFill="1" applyBorder="1"/>
    <xf numFmtId="0" fontId="8" fillId="0" borderId="8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25" xfId="0" applyFill="1" applyBorder="1"/>
    <xf numFmtId="0" fontId="0" fillId="0" borderId="0" xfId="0" applyFill="1" applyBorder="1"/>
    <xf numFmtId="0" fontId="0" fillId="4" borderId="27" xfId="0" applyFont="1" applyFill="1" applyBorder="1" applyAlignment="1">
      <alignment horizontal="right"/>
    </xf>
    <xf numFmtId="0" fontId="0" fillId="4" borderId="29" xfId="0" applyFont="1" applyFill="1" applyBorder="1"/>
    <xf numFmtId="0" fontId="0" fillId="2" borderId="30" xfId="0" applyFont="1" applyFill="1" applyBorder="1"/>
    <xf numFmtId="0" fontId="0" fillId="2" borderId="27" xfId="0" applyFont="1" applyFill="1" applyBorder="1"/>
    <xf numFmtId="0" fontId="11" fillId="0" borderId="0" xfId="0" applyFont="1" applyBorder="1"/>
    <xf numFmtId="2" fontId="0" fillId="0" borderId="0" xfId="0" applyNumberFormat="1" applyBorder="1"/>
    <xf numFmtId="2" fontId="0" fillId="0" borderId="1" xfId="0" applyNumberFormat="1" applyBorder="1"/>
    <xf numFmtId="1" fontId="0" fillId="0" borderId="0" xfId="0" applyNumberFormat="1" applyBorder="1"/>
    <xf numFmtId="164" fontId="0" fillId="0" borderId="1" xfId="0" applyNumberFormat="1" applyBorder="1"/>
    <xf numFmtId="2" fontId="0" fillId="0" borderId="13" xfId="0" applyNumberFormat="1" applyBorder="1"/>
    <xf numFmtId="2" fontId="5" fillId="2" borderId="13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0" fillId="4" borderId="26" xfId="0" applyNumberFormat="1" applyFont="1" applyFill="1" applyBorder="1"/>
    <xf numFmtId="2" fontId="0" fillId="4" borderId="28" xfId="0" applyNumberFormat="1" applyFont="1" applyFill="1" applyBorder="1"/>
    <xf numFmtId="2" fontId="0" fillId="0" borderId="10" xfId="0" applyNumberFormat="1" applyBorder="1"/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4" borderId="27" xfId="0" applyNumberFormat="1" applyFont="1" applyFill="1" applyBorder="1"/>
    <xf numFmtId="2" fontId="0" fillId="4" borderId="29" xfId="0" applyNumberFormat="1" applyFont="1" applyFill="1" applyBorder="1"/>
    <xf numFmtId="2" fontId="8" fillId="0" borderId="0" xfId="0" applyNumberFormat="1" applyFont="1" applyBorder="1"/>
    <xf numFmtId="2" fontId="8" fillId="0" borderId="1" xfId="0" applyNumberFormat="1" applyFont="1" applyBorder="1"/>
    <xf numFmtId="2" fontId="0" fillId="4" borderId="31" xfId="0" applyNumberFormat="1" applyFont="1" applyFill="1" applyBorder="1"/>
    <xf numFmtId="2" fontId="0" fillId="4" borderId="32" xfId="0" applyNumberFormat="1" applyFont="1" applyFill="1" applyBorder="1"/>
    <xf numFmtId="164" fontId="0" fillId="0" borderId="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2" fontId="0" fillId="0" borderId="24" xfId="0" applyNumberFormat="1" applyBorder="1"/>
    <xf numFmtId="2" fontId="0" fillId="0" borderId="0" xfId="0" applyNumberFormat="1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2" borderId="34" xfId="0" applyFont="1" applyFill="1" applyBorder="1"/>
    <xf numFmtId="0" fontId="0" fillId="2" borderId="35" xfId="0" applyFont="1" applyFill="1" applyBorder="1"/>
    <xf numFmtId="0" fontId="2" fillId="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0" borderId="4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4" xfId="0" applyFont="1" applyBorder="1" applyAlignment="1">
      <alignment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0</xdr:row>
      <xdr:rowOff>129540</xdr:rowOff>
    </xdr:from>
    <xdr:to>
      <xdr:col>6</xdr:col>
      <xdr:colOff>236220</xdr:colOff>
      <xdr:row>13</xdr:row>
      <xdr:rowOff>154940</xdr:rowOff>
    </xdr:to>
    <xdr:sp macro="" textlink="">
      <xdr:nvSpPr>
        <xdr:cNvPr id="2" name="TextBox 1"/>
        <xdr:cNvSpPr txBox="1"/>
      </xdr:nvSpPr>
      <xdr:spPr>
        <a:xfrm>
          <a:off x="911860" y="129540"/>
          <a:ext cx="8661400" cy="253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Lumber Beam-Colum with Combined Axial Load and Moment - Unbraced (12)</a:t>
          </a:r>
        </a:p>
        <a:p>
          <a:endParaRPr lang="en-US" sz="1400" b="1"/>
        </a:p>
        <a:p>
          <a:r>
            <a:rPr lang="en-US" sz="1400" b="1"/>
            <a:t>For EDUCATIONAL PURPOSES</a:t>
          </a:r>
          <a:r>
            <a:rPr lang="en-US" sz="1400" b="1" baseline="0"/>
            <a:t> ONLY - Not for use as a design aid</a:t>
          </a:r>
        </a:p>
        <a:p>
          <a:endParaRPr lang="en-US" sz="1400" b="1" baseline="0"/>
        </a:p>
        <a:p>
          <a:r>
            <a:rPr lang="en-US" sz="1400" b="1" baseline="0"/>
            <a:t>Reference: Canadian Standards Association (CSA) (2010) </a:t>
          </a:r>
          <a:r>
            <a:rPr lang="en-US" sz="1400" b="1" i="1" baseline="0"/>
            <a:t>086-09 Engineering design in wood (with Update No. 1)</a:t>
          </a:r>
        </a:p>
        <a:p>
          <a:r>
            <a:rPr lang="en-US" sz="1400" b="1" baseline="0"/>
            <a:t>Mississauga, ON: Canadian Standards Association.</a:t>
          </a:r>
        </a:p>
        <a:p>
          <a:endParaRPr lang="en-US" sz="1400" b="1" baseline="0"/>
        </a:p>
        <a:p>
          <a:r>
            <a:rPr lang="en-US" sz="1400" b="1"/>
            <a:t>Sarah McLaughlin</a:t>
          </a:r>
        </a:p>
        <a:p>
          <a:r>
            <a:rPr lang="en-US" sz="1400" b="1"/>
            <a:t>Tuesday, April 1, 2014</a:t>
          </a:r>
        </a:p>
        <a:p>
          <a:endParaRPr lang="en-US" sz="1400" b="1"/>
        </a:p>
      </xdr:txBody>
    </xdr:sp>
    <xdr:clientData/>
  </xdr:twoCellAnchor>
  <xdr:twoCellAnchor editAs="oneCell">
    <xdr:from>
      <xdr:col>4</xdr:col>
      <xdr:colOff>1243070</xdr:colOff>
      <xdr:row>7</xdr:row>
      <xdr:rowOff>181999</xdr:rowOff>
    </xdr:from>
    <xdr:to>
      <xdr:col>6</xdr:col>
      <xdr:colOff>348369</xdr:colOff>
      <xdr:row>21</xdr:row>
      <xdr:rowOff>43063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000"/>
                  </a14:imgEffect>
                  <a14:imgEffect>
                    <a14:brightnessContrast bright="21000" contrast="100000"/>
                  </a14:imgEffect>
                </a14:imgLayer>
              </a14:imgProps>
            </a:ext>
          </a:extLst>
        </a:blip>
        <a:srcRect l="18025" t="22452" r="50493" b="11164"/>
        <a:stretch/>
      </xdr:blipFill>
      <xdr:spPr bwMode="auto">
        <a:xfrm>
          <a:off x="7206990" y="1533279"/>
          <a:ext cx="2478419" cy="277698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4</xdr:col>
      <xdr:colOff>858752</xdr:colOff>
      <xdr:row>36</xdr:row>
      <xdr:rowOff>125029</xdr:rowOff>
    </xdr:from>
    <xdr:to>
      <xdr:col>6</xdr:col>
      <xdr:colOff>695751</xdr:colOff>
      <xdr:row>44</xdr:row>
      <xdr:rowOff>47274</xdr:rowOff>
    </xdr:to>
    <xdr:pic>
      <xdr:nvPicPr>
        <xdr:cNvPr id="9" name="Picture 8"/>
        <xdr:cNvPicPr/>
      </xdr:nvPicPr>
      <xdr:blipFill rotWithShape="1">
        <a:blip xmlns:r="http://schemas.openxmlformats.org/officeDocument/2006/relationships" r:embed="rId3"/>
        <a:srcRect l="24454" t="46537" r="37543" b="20602"/>
        <a:stretch/>
      </xdr:blipFill>
      <xdr:spPr bwMode="auto">
        <a:xfrm>
          <a:off x="6822672" y="7765349"/>
          <a:ext cx="3210119" cy="156816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162"/>
  <sheetViews>
    <sheetView tabSelected="1" zoomScale="125" zoomScaleNormal="125" zoomScalePageLayoutView="125" workbookViewId="0">
      <selection activeCell="C162" sqref="C162"/>
    </sheetView>
  </sheetViews>
  <sheetFormatPr defaultColWidth="11" defaultRowHeight="15.75" x14ac:dyDescent="0.25"/>
  <cols>
    <col min="2" max="2" width="13.875" customWidth="1"/>
    <col min="3" max="3" width="23.125" customWidth="1"/>
    <col min="4" max="4" width="30.125" customWidth="1"/>
    <col min="5" max="5" width="24.375" customWidth="1"/>
    <col min="6" max="6" width="19.875" customWidth="1"/>
  </cols>
  <sheetData>
    <row r="16" spans="2:3" ht="19.5" thickBot="1" x14ac:dyDescent="0.35">
      <c r="B16" s="1" t="s">
        <v>19</v>
      </c>
      <c r="C16" s="2"/>
    </row>
    <row r="17" spans="2:6" ht="18.75" thickTop="1" x14ac:dyDescent="0.25">
      <c r="B17" s="79" t="s">
        <v>138</v>
      </c>
      <c r="C17" s="30">
        <v>8.1</v>
      </c>
    </row>
    <row r="18" spans="2:6" ht="18" x14ac:dyDescent="0.25">
      <c r="B18" s="79" t="s">
        <v>139</v>
      </c>
      <c r="C18" s="31">
        <v>12.2</v>
      </c>
    </row>
    <row r="19" spans="2:6" ht="18" x14ac:dyDescent="0.25">
      <c r="B19" s="79" t="s">
        <v>140</v>
      </c>
      <c r="C19" s="31">
        <v>13.8</v>
      </c>
    </row>
    <row r="20" spans="2:6" x14ac:dyDescent="0.25">
      <c r="B20" s="3" t="s">
        <v>77</v>
      </c>
      <c r="C20" s="31">
        <v>10500</v>
      </c>
    </row>
    <row r="21" spans="2:6" ht="18.75" thickBot="1" x14ac:dyDescent="0.3">
      <c r="B21" s="84" t="s">
        <v>147</v>
      </c>
      <c r="C21" s="32">
        <v>6500</v>
      </c>
    </row>
    <row r="22" spans="2:6" ht="16.5" thickTop="1" x14ac:dyDescent="0.25"/>
    <row r="23" spans="2:6" ht="19.5" thickBot="1" x14ac:dyDescent="0.35">
      <c r="B23" s="1" t="s">
        <v>0</v>
      </c>
      <c r="C23" s="5"/>
      <c r="D23" s="5"/>
      <c r="E23" s="5"/>
      <c r="F23" s="2"/>
    </row>
    <row r="24" spans="2:6" ht="16.5" thickTop="1" x14ac:dyDescent="0.25">
      <c r="B24" s="3"/>
      <c r="C24" s="6" t="s">
        <v>1</v>
      </c>
      <c r="D24" s="30" t="s">
        <v>6</v>
      </c>
      <c r="E24" s="6"/>
      <c r="F24" s="7"/>
    </row>
    <row r="25" spans="2:6" x14ac:dyDescent="0.25">
      <c r="B25" s="3"/>
      <c r="C25" s="6" t="s">
        <v>2</v>
      </c>
      <c r="D25" s="31" t="s">
        <v>11</v>
      </c>
      <c r="E25" s="6"/>
      <c r="F25" s="7"/>
    </row>
    <row r="26" spans="2:6" ht="18" x14ac:dyDescent="0.25">
      <c r="B26" s="3"/>
      <c r="C26" s="6" t="s">
        <v>4</v>
      </c>
      <c r="D26" s="31" t="s">
        <v>25</v>
      </c>
      <c r="E26" s="71" t="s">
        <v>108</v>
      </c>
      <c r="F26" s="7">
        <f>IF(D26="not mutually supported", 1,1.1)</f>
        <v>1</v>
      </c>
    </row>
    <row r="27" spans="2:6" ht="18" x14ac:dyDescent="0.25">
      <c r="B27" s="3"/>
      <c r="C27" s="6" t="s">
        <v>5</v>
      </c>
      <c r="D27" s="31" t="s">
        <v>23</v>
      </c>
      <c r="E27" s="71" t="s">
        <v>109</v>
      </c>
      <c r="F27" s="7">
        <f>IF(D27="Unincised", 1, IF(D29="Dry",(IF(D39&gt;89, 1, 0.75)),0.85))</f>
        <v>1</v>
      </c>
    </row>
    <row r="28" spans="2:6" ht="18" x14ac:dyDescent="0.25">
      <c r="B28" s="3"/>
      <c r="C28" s="6" t="s">
        <v>15</v>
      </c>
      <c r="D28" s="31" t="s">
        <v>18</v>
      </c>
      <c r="E28" s="71" t="s">
        <v>110</v>
      </c>
      <c r="F28" s="7">
        <f>IF(D28="Short Term",1.15,IF(D28="Standard Term",1,0.65))</f>
        <v>0.65</v>
      </c>
    </row>
    <row r="29" spans="2:6" ht="18.75" thickBot="1" x14ac:dyDescent="0.3">
      <c r="B29" s="3"/>
      <c r="C29" s="6" t="s">
        <v>3</v>
      </c>
      <c r="D29" s="32" t="s">
        <v>20</v>
      </c>
      <c r="E29" s="71" t="s">
        <v>111</v>
      </c>
      <c r="F29" s="7">
        <f>IF(D29="Dry", 1, (IF(D39&lt;90,0.84,1)))</f>
        <v>1</v>
      </c>
    </row>
    <row r="30" spans="2:6" ht="18.75" thickTop="1" x14ac:dyDescent="0.25">
      <c r="B30" s="3"/>
      <c r="C30" s="6"/>
      <c r="D30" s="6"/>
      <c r="E30" s="71" t="s">
        <v>112</v>
      </c>
      <c r="F30" s="7">
        <f>IF(D29="Dry", 1, (IF(D39&lt;90, 0.94,1)))</f>
        <v>1</v>
      </c>
    </row>
    <row r="31" spans="2:6" ht="18" x14ac:dyDescent="0.25">
      <c r="B31" s="3"/>
      <c r="C31" s="6"/>
      <c r="D31" s="6"/>
      <c r="E31" s="71" t="s">
        <v>113</v>
      </c>
      <c r="F31" s="7">
        <f>IF(D40&lt;90,1.5,IF(D40&lt;115,1.4,IF(D40&lt;141,1.3,IF(D40&lt;192,1.2,IF(D40&lt;242,1.1,IF(D40&lt;293,1,IF(D40&lt;344,0.9,0.8)))))))</f>
        <v>1.1000000000000001</v>
      </c>
    </row>
    <row r="32" spans="2:6" ht="18" x14ac:dyDescent="0.25">
      <c r="B32" s="3"/>
      <c r="C32" s="6"/>
      <c r="D32" s="6"/>
      <c r="E32" s="71" t="s">
        <v>114</v>
      </c>
      <c r="F32" s="7">
        <f>IF(D29="Dry", 1, IF(D39&lt;90, 0.69, 0.91))</f>
        <v>0.91</v>
      </c>
    </row>
    <row r="33" spans="2:6" ht="18" x14ac:dyDescent="0.25">
      <c r="B33" s="3"/>
      <c r="C33" s="6"/>
      <c r="D33" s="6"/>
      <c r="E33" s="71" t="s">
        <v>115</v>
      </c>
      <c r="F33" s="7">
        <f>IF(D29="Dry",1,IF(D39&lt;90,0.84,1))</f>
        <v>1</v>
      </c>
    </row>
    <row r="34" spans="2:6" ht="18.75" thickBot="1" x14ac:dyDescent="0.3">
      <c r="B34" s="3"/>
      <c r="C34" s="6"/>
      <c r="D34" s="6"/>
      <c r="E34" s="71" t="s">
        <v>116</v>
      </c>
      <c r="F34" s="7">
        <f>IF(D40&lt;114,1.7,IF(D40&lt;140,IF(D39&lt;65,1.5,IF(D39&lt;114,1.6,1.3)),IF(D40&lt;184,IF(D39&lt;65,1.4,IF(D39&lt;114,1.5,1.3)),IF(D40&lt;235,IF(D39&lt;65,1.2,1.3),IF(D40&lt;286,IF(D39&lt;65,1.1,1.2),IF(D40&lt;337,IF(D39&lt;65,1,1.1),IF(D40&lt;387,IF(D39&lt;65,0.9,1),IF(D40&gt;386,(IF(D39&lt;65,0.8,0.9))))))))))</f>
        <v>1.2</v>
      </c>
    </row>
    <row r="35" spans="2:6" ht="17.25" thickTop="1" thickBot="1" x14ac:dyDescent="0.3">
      <c r="B35" s="4"/>
      <c r="C35" s="8" t="s">
        <v>82</v>
      </c>
      <c r="D35" s="33" t="s">
        <v>79</v>
      </c>
      <c r="E35" s="8"/>
      <c r="F35" s="9"/>
    </row>
    <row r="36" spans="2:6" ht="17.25" thickTop="1" thickBot="1" x14ac:dyDescent="0.3"/>
    <row r="37" spans="2:6" ht="17.25" thickTop="1" thickBot="1" x14ac:dyDescent="0.3">
      <c r="C37" s="10" t="s">
        <v>19</v>
      </c>
      <c r="D37" s="33" t="s">
        <v>104</v>
      </c>
      <c r="E37" s="2"/>
    </row>
    <row r="38" spans="2:6" ht="17.25" thickTop="1" thickBot="1" x14ac:dyDescent="0.3">
      <c r="C38" s="3"/>
      <c r="D38" s="6"/>
      <c r="E38" s="7"/>
    </row>
    <row r="39" spans="2:6" ht="16.5" thickTop="1" x14ac:dyDescent="0.25">
      <c r="C39" s="3" t="s">
        <v>145</v>
      </c>
      <c r="D39" s="30">
        <v>191</v>
      </c>
      <c r="E39" s="7"/>
    </row>
    <row r="40" spans="2:6" x14ac:dyDescent="0.25">
      <c r="C40" s="3" t="s">
        <v>146</v>
      </c>
      <c r="D40" s="31">
        <v>241</v>
      </c>
      <c r="E40" s="7"/>
    </row>
    <row r="41" spans="2:6" ht="16.5" thickBot="1" x14ac:dyDescent="0.3">
      <c r="C41" s="3" t="s">
        <v>144</v>
      </c>
      <c r="D41" s="32">
        <v>2000</v>
      </c>
      <c r="E41" s="7"/>
    </row>
    <row r="42" spans="2:6" ht="17.25" thickTop="1" thickBot="1" x14ac:dyDescent="0.3">
      <c r="C42" s="3"/>
      <c r="D42" s="6"/>
      <c r="E42" s="7"/>
    </row>
    <row r="43" spans="2:6" ht="16.5" thickTop="1" x14ac:dyDescent="0.25">
      <c r="C43" s="3" t="s">
        <v>143</v>
      </c>
      <c r="D43" s="30">
        <v>13</v>
      </c>
      <c r="E43" s="7"/>
    </row>
    <row r="44" spans="2:6" ht="16.5" thickBot="1" x14ac:dyDescent="0.3">
      <c r="C44" s="3" t="s">
        <v>28</v>
      </c>
      <c r="D44" s="32">
        <v>1</v>
      </c>
      <c r="E44" s="7"/>
    </row>
    <row r="45" spans="2:6" ht="16.5" thickTop="1" x14ac:dyDescent="0.25">
      <c r="C45" s="3"/>
      <c r="D45" s="6"/>
      <c r="E45" s="7"/>
    </row>
    <row r="46" spans="2:6" ht="18" x14ac:dyDescent="0.25">
      <c r="C46" s="72" t="s">
        <v>141</v>
      </c>
      <c r="D46" s="43">
        <f xml:space="preserve"> D39*D40</f>
        <v>46031</v>
      </c>
      <c r="E46" s="7"/>
    </row>
    <row r="47" spans="2:6" ht="18" x14ac:dyDescent="0.25">
      <c r="C47" s="72" t="s">
        <v>142</v>
      </c>
      <c r="D47" s="43">
        <f>(D40-((D43+2)*D44))*D39</f>
        <v>43166</v>
      </c>
      <c r="E47" s="7"/>
    </row>
    <row r="48" spans="2:6" ht="18" x14ac:dyDescent="0.25">
      <c r="C48" s="3"/>
      <c r="D48" s="6"/>
      <c r="E48" s="90" t="s">
        <v>168</v>
      </c>
    </row>
    <row r="49" spans="3:6" ht="18" x14ac:dyDescent="0.25">
      <c r="C49" s="73" t="s">
        <v>117</v>
      </c>
      <c r="D49" s="44">
        <f>D47/D46</f>
        <v>0.93775933609958506</v>
      </c>
      <c r="E49" s="89" t="str">
        <f>IF( D49&lt;0.75, "This wil fail; An&gt;75%Ag", "OK")</f>
        <v>OK</v>
      </c>
    </row>
    <row r="53" spans="3:6" ht="19.5" thickBot="1" x14ac:dyDescent="0.35">
      <c r="C53" s="1" t="s">
        <v>172</v>
      </c>
      <c r="D53" s="2"/>
    </row>
    <row r="54" spans="3:6" ht="16.5" thickTop="1" x14ac:dyDescent="0.25">
      <c r="C54" s="3" t="s">
        <v>93</v>
      </c>
      <c r="D54" s="30">
        <v>-20</v>
      </c>
    </row>
    <row r="55" spans="3:6" x14ac:dyDescent="0.25">
      <c r="C55" s="3" t="s">
        <v>94</v>
      </c>
      <c r="D55" s="31">
        <v>-15</v>
      </c>
    </row>
    <row r="56" spans="3:6" x14ac:dyDescent="0.25">
      <c r="C56" s="3" t="s">
        <v>95</v>
      </c>
      <c r="D56" s="31">
        <v>50</v>
      </c>
    </row>
    <row r="57" spans="3:6" x14ac:dyDescent="0.25">
      <c r="C57" s="3" t="s">
        <v>96</v>
      </c>
      <c r="D57" s="31">
        <v>-5</v>
      </c>
    </row>
    <row r="58" spans="3:6" ht="16.5" thickBot="1" x14ac:dyDescent="0.3">
      <c r="C58" s="4" t="s">
        <v>97</v>
      </c>
      <c r="D58" s="32">
        <v>0</v>
      </c>
    </row>
    <row r="59" spans="3:6" ht="9.9499999999999993" customHeight="1" thickTop="1" thickBot="1" x14ac:dyDescent="0.3">
      <c r="C59" s="10"/>
      <c r="D59" s="2"/>
    </row>
    <row r="60" spans="3:6" ht="16.5" thickBot="1" x14ac:dyDescent="0.3">
      <c r="C60" s="4" t="s">
        <v>92</v>
      </c>
      <c r="D60" s="34">
        <v>17</v>
      </c>
    </row>
    <row r="62" spans="3:6" ht="18.75" x14ac:dyDescent="0.3">
      <c r="C62" s="18" t="s">
        <v>87</v>
      </c>
      <c r="D62" s="17"/>
      <c r="E62" s="5"/>
      <c r="F62" s="2"/>
    </row>
    <row r="63" spans="3:6" ht="18" x14ac:dyDescent="0.35">
      <c r="C63" s="22" t="s">
        <v>86</v>
      </c>
      <c r="D63" s="23" t="s">
        <v>29</v>
      </c>
      <c r="E63" s="24"/>
      <c r="F63" s="92" t="s">
        <v>110</v>
      </c>
    </row>
    <row r="64" spans="3:6" ht="17.25" x14ac:dyDescent="0.35">
      <c r="C64" s="12">
        <v>1</v>
      </c>
      <c r="D64" s="11" t="s">
        <v>30</v>
      </c>
      <c r="E64" s="45">
        <f>1.4*D54</f>
        <v>-28</v>
      </c>
      <c r="F64" s="13">
        <v>0.65</v>
      </c>
    </row>
    <row r="65" spans="3:6" ht="17.25" x14ac:dyDescent="0.35">
      <c r="C65" s="12" t="s">
        <v>31</v>
      </c>
      <c r="D65" s="11" t="s">
        <v>32</v>
      </c>
      <c r="E65" s="45">
        <f>1.25*D54+1.5*D55</f>
        <v>-47.5</v>
      </c>
      <c r="F65" s="13">
        <v>1</v>
      </c>
    </row>
    <row r="66" spans="3:6" ht="17.25" x14ac:dyDescent="0.35">
      <c r="C66" s="12" t="s">
        <v>33</v>
      </c>
      <c r="D66" s="11" t="s">
        <v>34</v>
      </c>
      <c r="E66" s="45">
        <f>1.25*D54+1.5*D55+0.5*D57</f>
        <v>-50</v>
      </c>
      <c r="F66" s="13">
        <v>1</v>
      </c>
    </row>
    <row r="67" spans="3:6" ht="17.25" x14ac:dyDescent="0.35">
      <c r="C67" s="12" t="s">
        <v>35</v>
      </c>
      <c r="D67" s="11" t="s">
        <v>36</v>
      </c>
      <c r="E67" s="45">
        <f>1.25*D54+1.5*D55+0.4*D56</f>
        <v>-27.5</v>
      </c>
      <c r="F67" s="13">
        <v>1.1499999999999999</v>
      </c>
    </row>
    <row r="68" spans="3:6" ht="17.25" x14ac:dyDescent="0.35">
      <c r="C68" s="12" t="s">
        <v>37</v>
      </c>
      <c r="D68" s="11" t="s">
        <v>38</v>
      </c>
      <c r="E68" s="45">
        <f>0.9*D54+1.5*D55</f>
        <v>-40.5</v>
      </c>
      <c r="F68" s="13">
        <v>1</v>
      </c>
    </row>
    <row r="69" spans="3:6" ht="17.25" x14ac:dyDescent="0.35">
      <c r="C69" s="12" t="s">
        <v>39</v>
      </c>
      <c r="D69" s="11" t="s">
        <v>40</v>
      </c>
      <c r="E69" s="45">
        <f>0.9*D54+1.5*D55+0.5*D57</f>
        <v>-43</v>
      </c>
      <c r="F69" s="13">
        <v>1</v>
      </c>
    </row>
    <row r="70" spans="3:6" ht="17.25" x14ac:dyDescent="0.35">
      <c r="C70" s="12" t="s">
        <v>41</v>
      </c>
      <c r="D70" s="11" t="s">
        <v>42</v>
      </c>
      <c r="E70" s="45">
        <f>0.9*D54+1.5*D55+0.4*D56</f>
        <v>-20.5</v>
      </c>
      <c r="F70" s="13">
        <v>1.1499999999999999</v>
      </c>
    </row>
    <row r="71" spans="3:6" ht="17.25" x14ac:dyDescent="0.35">
      <c r="C71" s="12" t="s">
        <v>43</v>
      </c>
      <c r="D71" s="11" t="s">
        <v>44</v>
      </c>
      <c r="E71" s="45">
        <f>1.25*D54+1.5*D57</f>
        <v>-32.5</v>
      </c>
      <c r="F71" s="13">
        <v>1</v>
      </c>
    </row>
    <row r="72" spans="3:6" ht="17.25" x14ac:dyDescent="0.35">
      <c r="C72" s="12" t="s">
        <v>45</v>
      </c>
      <c r="D72" s="11" t="s">
        <v>46</v>
      </c>
      <c r="E72" s="45">
        <f>1.25*D54+1.5*D57+0.5*D55</f>
        <v>-40</v>
      </c>
      <c r="F72" s="13">
        <v>1</v>
      </c>
    </row>
    <row r="73" spans="3:6" ht="17.25" x14ac:dyDescent="0.35">
      <c r="C73" s="12" t="s">
        <v>47</v>
      </c>
      <c r="D73" s="11" t="s">
        <v>48</v>
      </c>
      <c r="E73" s="46">
        <f>1.25*D54 + 1.5*D57 + 0.4*D56</f>
        <v>-12.5</v>
      </c>
      <c r="F73" s="13">
        <v>1.1499999999999999</v>
      </c>
    </row>
    <row r="74" spans="3:6" ht="17.25" x14ac:dyDescent="0.35">
      <c r="C74" s="12" t="s">
        <v>49</v>
      </c>
      <c r="D74" s="11" t="s">
        <v>50</v>
      </c>
      <c r="E74" s="46">
        <f>0.9*D54 + 1.5*D57</f>
        <v>-25.5</v>
      </c>
      <c r="F74" s="13">
        <v>1</v>
      </c>
    </row>
    <row r="75" spans="3:6" ht="17.25" x14ac:dyDescent="0.35">
      <c r="C75" s="12" t="s">
        <v>51</v>
      </c>
      <c r="D75" s="11" t="s">
        <v>52</v>
      </c>
      <c r="E75" s="46">
        <f>0.9*D54 + 1.5*D57 + 0.5*D55</f>
        <v>-33</v>
      </c>
      <c r="F75" s="13">
        <v>1</v>
      </c>
    </row>
    <row r="76" spans="3:6" ht="17.25" x14ac:dyDescent="0.35">
      <c r="C76" s="12" t="s">
        <v>53</v>
      </c>
      <c r="D76" s="11" t="s">
        <v>54</v>
      </c>
      <c r="E76" s="46">
        <f>0.9*D54 + 1.5*D57 + 0.4*D56</f>
        <v>-5.5</v>
      </c>
      <c r="F76" s="13">
        <v>1.1499999999999999</v>
      </c>
    </row>
    <row r="77" spans="3:6" ht="17.25" x14ac:dyDescent="0.35">
      <c r="C77" s="12" t="s">
        <v>55</v>
      </c>
      <c r="D77" s="11" t="s">
        <v>56</v>
      </c>
      <c r="E77" s="46">
        <f>1.25*D54 + 1.4*D56</f>
        <v>45</v>
      </c>
      <c r="F77" s="13">
        <v>1.1499999999999999</v>
      </c>
    </row>
    <row r="78" spans="3:6" ht="17.25" x14ac:dyDescent="0.35">
      <c r="C78" s="12" t="s">
        <v>57</v>
      </c>
      <c r="D78" s="11" t="s">
        <v>58</v>
      </c>
      <c r="E78" s="46">
        <f>1.25*D54 + 1.4*D56 + 0.5*D55</f>
        <v>37.5</v>
      </c>
      <c r="F78" s="13">
        <v>1.1499999999999999</v>
      </c>
    </row>
    <row r="79" spans="3:6" ht="17.25" x14ac:dyDescent="0.35">
      <c r="C79" s="12" t="s">
        <v>59</v>
      </c>
      <c r="D79" s="11" t="s">
        <v>60</v>
      </c>
      <c r="E79" s="46">
        <f>1.25*D54 + 1.4*D56 + 0.5*D57</f>
        <v>42.5</v>
      </c>
      <c r="F79" s="13">
        <v>1.1499999999999999</v>
      </c>
    </row>
    <row r="80" spans="3:6" ht="17.25" x14ac:dyDescent="0.35">
      <c r="C80" s="12" t="s">
        <v>61</v>
      </c>
      <c r="D80" s="11" t="s">
        <v>62</v>
      </c>
      <c r="E80" s="46">
        <f>0.9*D54 + 1.4*D56</f>
        <v>52</v>
      </c>
      <c r="F80" s="13">
        <v>1.1499999999999999</v>
      </c>
    </row>
    <row r="81" spans="2:7" ht="17.25" x14ac:dyDescent="0.35">
      <c r="C81" s="12" t="s">
        <v>63</v>
      </c>
      <c r="D81" s="11" t="s">
        <v>64</v>
      </c>
      <c r="E81" s="46">
        <f>0.9*D54 + 1.4*D56 + 0.5*D55</f>
        <v>44.5</v>
      </c>
      <c r="F81" s="13">
        <v>1.1499999999999999</v>
      </c>
    </row>
    <row r="82" spans="2:7" ht="17.25" x14ac:dyDescent="0.35">
      <c r="C82" s="12" t="s">
        <v>65</v>
      </c>
      <c r="D82" s="11" t="s">
        <v>66</v>
      </c>
      <c r="E82" s="46">
        <f>0.9*D54 + 1.4*D56 + 0.5*D57</f>
        <v>49.5</v>
      </c>
      <c r="F82" s="13">
        <v>1.1499999999999999</v>
      </c>
    </row>
    <row r="83" spans="2:7" ht="17.25" x14ac:dyDescent="0.35">
      <c r="C83" s="12" t="s">
        <v>67</v>
      </c>
      <c r="D83" s="11" t="s">
        <v>68</v>
      </c>
      <c r="E83" s="46">
        <f>1*D54 + 1*D58</f>
        <v>-20</v>
      </c>
      <c r="F83" s="13">
        <v>1.1499999999999999</v>
      </c>
    </row>
    <row r="84" spans="2:7" ht="17.25" x14ac:dyDescent="0.35">
      <c r="C84" s="12" t="s">
        <v>69</v>
      </c>
      <c r="D84" s="11" t="s">
        <v>70</v>
      </c>
      <c r="E84" s="46">
        <f>1*D54 + 1*D58 + 0.5*D55</f>
        <v>-27.5</v>
      </c>
      <c r="F84" s="13">
        <v>1.1499999999999999</v>
      </c>
    </row>
    <row r="85" spans="2:7" ht="17.25" x14ac:dyDescent="0.35">
      <c r="C85" s="12" t="s">
        <v>71</v>
      </c>
      <c r="D85" s="11" t="s">
        <v>72</v>
      </c>
      <c r="E85" s="46">
        <f>1*D54 + 1*D58 + 0.25*D57</f>
        <v>-21.25</v>
      </c>
      <c r="F85" s="13">
        <v>1.1499999999999999</v>
      </c>
    </row>
    <row r="86" spans="2:7" ht="17.25" x14ac:dyDescent="0.35">
      <c r="C86" s="14" t="s">
        <v>73</v>
      </c>
      <c r="D86" s="15" t="s">
        <v>74</v>
      </c>
      <c r="E86" s="47">
        <f>1*D54 + 1*D58 + 0.5*D55 + 0.25*D57</f>
        <v>-28.75</v>
      </c>
      <c r="F86" s="16">
        <v>1.1499999999999999</v>
      </c>
    </row>
    <row r="89" spans="2:7" ht="18" x14ac:dyDescent="0.25">
      <c r="B89" s="76" t="s">
        <v>123</v>
      </c>
      <c r="C89" s="50">
        <f>E64</f>
        <v>-28</v>
      </c>
      <c r="D89" s="51" t="str">
        <f>IF(C89&lt;0, "N/A", C89)</f>
        <v>N/A</v>
      </c>
      <c r="E89" s="74" t="s">
        <v>169</v>
      </c>
      <c r="F89" s="50">
        <f>E64</f>
        <v>-28</v>
      </c>
      <c r="G89" s="54">
        <f>IF(F89&gt;0, "N/A", F89)</f>
        <v>-28</v>
      </c>
    </row>
    <row r="90" spans="2:7" ht="18" x14ac:dyDescent="0.25">
      <c r="B90" s="72" t="s">
        <v>124</v>
      </c>
      <c r="C90" s="41">
        <f>MAX(E65,E66,E68,E69,E71,E72,E74,E75)</f>
        <v>-25.5</v>
      </c>
      <c r="D90" s="52" t="str">
        <f t="shared" ref="D90:D91" si="0">IF(C90&lt;0, "N/A", C90)</f>
        <v>N/A</v>
      </c>
      <c r="E90" s="75" t="s">
        <v>171</v>
      </c>
      <c r="F90" s="41">
        <f>MIN(E65,E66,E68,E69,E71,E72,E74,E75)</f>
        <v>-50</v>
      </c>
      <c r="G90" s="55">
        <f t="shared" ref="G90:G91" si="1">IF(F90&gt;0, "N/A", F90)</f>
        <v>-50</v>
      </c>
    </row>
    <row r="91" spans="2:7" ht="18" x14ac:dyDescent="0.25">
      <c r="B91" s="73" t="s">
        <v>125</v>
      </c>
      <c r="C91" s="42">
        <f>MAX(E67,E70,E73,E76,E77,E78,E79,E80,E82,E81,E83,E84,E85,E86)</f>
        <v>52</v>
      </c>
      <c r="D91" s="53">
        <f t="shared" si="0"/>
        <v>52</v>
      </c>
      <c r="E91" s="77" t="s">
        <v>170</v>
      </c>
      <c r="F91" s="42">
        <f>MIN(E67,E70,E73,E76:E86)</f>
        <v>-28.75</v>
      </c>
      <c r="G91" s="56">
        <f t="shared" si="1"/>
        <v>-28.75</v>
      </c>
    </row>
    <row r="92" spans="2:7" x14ac:dyDescent="0.25">
      <c r="B92" s="6"/>
      <c r="C92" s="6"/>
      <c r="D92" s="25"/>
      <c r="E92" s="6"/>
      <c r="F92" s="6"/>
      <c r="G92" s="6"/>
    </row>
    <row r="93" spans="2:7" x14ac:dyDescent="0.25">
      <c r="B93" s="6"/>
      <c r="C93" s="6"/>
      <c r="D93" s="25"/>
      <c r="E93" s="6"/>
      <c r="F93" s="6"/>
      <c r="G93" s="6"/>
    </row>
    <row r="94" spans="2:7" x14ac:dyDescent="0.25">
      <c r="B94" s="6"/>
      <c r="C94" s="6"/>
      <c r="D94" s="25"/>
      <c r="E94" s="6"/>
      <c r="F94" s="6"/>
      <c r="G94" s="6"/>
    </row>
    <row r="95" spans="2:7" ht="21" x14ac:dyDescent="0.35">
      <c r="B95" s="40" t="s">
        <v>107</v>
      </c>
      <c r="C95" s="6"/>
      <c r="D95" s="25"/>
      <c r="E95" s="6"/>
      <c r="F95" s="6"/>
      <c r="G95" s="6"/>
    </row>
    <row r="96" spans="2:7" ht="16.5" thickBot="1" x14ac:dyDescent="0.3"/>
    <row r="97" spans="2:7" ht="19.5" thickTop="1" x14ac:dyDescent="0.3">
      <c r="B97" s="1" t="s">
        <v>88</v>
      </c>
      <c r="C97" s="5"/>
      <c r="D97" s="5"/>
      <c r="E97" s="82" t="s">
        <v>132</v>
      </c>
      <c r="F97" s="85" t="s">
        <v>137</v>
      </c>
      <c r="G97" s="35" t="s">
        <v>106</v>
      </c>
    </row>
    <row r="98" spans="2:7" ht="18" x14ac:dyDescent="0.25">
      <c r="B98" s="72" t="s">
        <v>126</v>
      </c>
      <c r="C98" s="41">
        <f>0.9*(C17*0.65*F26*F29*F27)*D47*F31/1000</f>
        <v>224.99630010000001</v>
      </c>
      <c r="D98" s="6"/>
      <c r="E98" s="48">
        <f>C98</f>
        <v>224.99630010000001</v>
      </c>
      <c r="F98" s="36" t="str">
        <f>D89</f>
        <v>N/A</v>
      </c>
      <c r="G98" t="str">
        <f>IF(F98="N/A", "N/A", IF(E98&gt;F98, "OK", "This member will fail"))</f>
        <v>N/A</v>
      </c>
    </row>
    <row r="99" spans="2:7" ht="18" x14ac:dyDescent="0.25">
      <c r="B99" s="72" t="s">
        <v>127</v>
      </c>
      <c r="C99" s="41">
        <f>0.9*(C17*1*F26*F29*F27)*D47*F31/1000</f>
        <v>346.14815400000003</v>
      </c>
      <c r="D99" s="6"/>
      <c r="E99" s="48">
        <f>C99</f>
        <v>346.14815400000003</v>
      </c>
      <c r="F99" s="36" t="str">
        <f>D90</f>
        <v>N/A</v>
      </c>
      <c r="G99" t="str">
        <f t="shared" ref="G99:G110" si="2">IF(F99="N/A", "N/A", IF(E99&gt;F99, "OK", "This member will fail"))</f>
        <v>N/A</v>
      </c>
    </row>
    <row r="100" spans="2:7" ht="18.75" thickBot="1" x14ac:dyDescent="0.3">
      <c r="B100" s="73" t="s">
        <v>128</v>
      </c>
      <c r="C100" s="42">
        <f>0.9*(C17*1.15*F26*F29*F27)*D47*F31/1000</f>
        <v>398.07037709999997</v>
      </c>
      <c r="D100" s="8"/>
      <c r="E100" s="49">
        <f>C100</f>
        <v>398.07037709999997</v>
      </c>
      <c r="F100" s="37">
        <f>D91</f>
        <v>52</v>
      </c>
      <c r="G100" t="str">
        <f t="shared" si="2"/>
        <v>OK</v>
      </c>
    </row>
    <row r="101" spans="2:7" ht="16.5" thickBot="1" x14ac:dyDescent="0.3">
      <c r="E101" s="80"/>
      <c r="F101" s="81"/>
    </row>
    <row r="102" spans="2:7" ht="18.75" x14ac:dyDescent="0.3">
      <c r="B102" s="1" t="s">
        <v>89</v>
      </c>
      <c r="C102" s="5" t="s">
        <v>75</v>
      </c>
      <c r="D102" s="5" t="s">
        <v>76</v>
      </c>
      <c r="E102" s="83" t="s">
        <v>133</v>
      </c>
      <c r="F102" s="86" t="s">
        <v>136</v>
      </c>
      <c r="G102" t="str">
        <f t="shared" si="2"/>
        <v>OK</v>
      </c>
    </row>
    <row r="103" spans="2:7" ht="18" x14ac:dyDescent="0.25">
      <c r="B103" s="72" t="s">
        <v>131</v>
      </c>
      <c r="C103" s="41">
        <f>0.8*C18*0.65*F26*F32*F27*D46*C133*C137/1000</f>
        <v>301.84217622256841</v>
      </c>
      <c r="D103" s="41">
        <f>0.8*C18*0.65*F26*F32*F27*D46*C134*C140/1000</f>
        <v>299.2549543452256</v>
      </c>
      <c r="E103" s="48">
        <f>MIN(C103,D103)</f>
        <v>299.2549543452256</v>
      </c>
      <c r="F103" s="57">
        <f>ABS(G89)</f>
        <v>28</v>
      </c>
      <c r="G103" t="str">
        <f t="shared" si="2"/>
        <v>OK</v>
      </c>
    </row>
    <row r="104" spans="2:7" ht="18" x14ac:dyDescent="0.25">
      <c r="B104" s="72" t="s">
        <v>130</v>
      </c>
      <c r="C104" s="41">
        <f>0.8*C18*1*F26*F32*F27*D46*C133*C138/1000</f>
        <v>454.25441159125</v>
      </c>
      <c r="D104" s="41">
        <f>0.8*C18*1*F26*F32*F27*D46*C134*C141/1000</f>
        <v>455.3862128909567</v>
      </c>
      <c r="E104" s="48">
        <f>MIN(C104,D104)</f>
        <v>454.25441159125</v>
      </c>
      <c r="F104" s="57">
        <f>ABS(G90)</f>
        <v>50</v>
      </c>
      <c r="G104" t="str">
        <f t="shared" si="2"/>
        <v>OK</v>
      </c>
    </row>
    <row r="105" spans="2:7" ht="18.75" thickBot="1" x14ac:dyDescent="0.3">
      <c r="B105" s="73" t="s">
        <v>129</v>
      </c>
      <c r="C105" s="42">
        <f>0.8*C18*1.15*F26*F32*F27*D46*C133*C139/1000</f>
        <v>517.55955071372568</v>
      </c>
      <c r="D105" s="42">
        <f>0.8*C18*1.15*F26*F32*F27*D46*C134*C142/1000</f>
        <v>521.26503698985755</v>
      </c>
      <c r="E105" s="49">
        <f>MIN(C105,D105)</f>
        <v>517.55955071372568</v>
      </c>
      <c r="F105" s="58">
        <f>ABS(G91)</f>
        <v>28.75</v>
      </c>
      <c r="G105" t="str">
        <f t="shared" si="2"/>
        <v>OK</v>
      </c>
    </row>
    <row r="106" spans="2:7" ht="16.5" thickBot="1" x14ac:dyDescent="0.3">
      <c r="B106" s="6"/>
      <c r="C106" s="6"/>
      <c r="D106" s="6"/>
      <c r="E106" s="38"/>
      <c r="F106" s="39"/>
    </row>
    <row r="107" spans="2:7" ht="18.75" x14ac:dyDescent="0.3">
      <c r="B107" s="21" t="s">
        <v>91</v>
      </c>
      <c r="C107" s="5"/>
      <c r="D107" s="5"/>
      <c r="E107" s="83" t="s">
        <v>134</v>
      </c>
      <c r="F107" s="86" t="s">
        <v>135</v>
      </c>
      <c r="G107" t="str">
        <f t="shared" si="2"/>
        <v>OK</v>
      </c>
    </row>
    <row r="108" spans="2:7" x14ac:dyDescent="0.25">
      <c r="B108" s="19" t="s">
        <v>83</v>
      </c>
      <c r="C108" s="59">
        <f>0.9*C19*0.65*F26*F33*F27*C158*F34*1/1000000</f>
        <v>17.911518276600003</v>
      </c>
      <c r="D108" s="41"/>
      <c r="E108" s="48">
        <f>C108</f>
        <v>17.911518276600003</v>
      </c>
      <c r="F108" s="57">
        <f>D60</f>
        <v>17</v>
      </c>
      <c r="G108" t="str">
        <f t="shared" si="2"/>
        <v>OK</v>
      </c>
    </row>
    <row r="109" spans="2:7" x14ac:dyDescent="0.25">
      <c r="B109" s="19" t="s">
        <v>84</v>
      </c>
      <c r="C109" s="59">
        <f>0.9*C19*1*F26*F33*F27*C158*F34*1/1000000</f>
        <v>27.556181964</v>
      </c>
      <c r="D109" s="41"/>
      <c r="E109" s="48">
        <f>C109</f>
        <v>27.556181964</v>
      </c>
      <c r="F109" s="57">
        <f>D60</f>
        <v>17</v>
      </c>
      <c r="G109" t="str">
        <f t="shared" si="2"/>
        <v>OK</v>
      </c>
    </row>
    <row r="110" spans="2:7" ht="16.5" thickBot="1" x14ac:dyDescent="0.3">
      <c r="B110" s="20" t="s">
        <v>85</v>
      </c>
      <c r="C110" s="60">
        <f>0.9*C19*1.15*F26*F33*F27*C158*F34*1/1000000</f>
        <v>31.689609258600001</v>
      </c>
      <c r="D110" s="42"/>
      <c r="E110" s="61">
        <f>C110</f>
        <v>31.689609258600001</v>
      </c>
      <c r="F110" s="62">
        <f>D60</f>
        <v>17</v>
      </c>
      <c r="G110" t="str">
        <f t="shared" si="2"/>
        <v>OK</v>
      </c>
    </row>
    <row r="111" spans="2:7" ht="16.5" thickTop="1" x14ac:dyDescent="0.25"/>
    <row r="113" spans="2:4" ht="18.75" x14ac:dyDescent="0.3">
      <c r="B113" s="28" t="s">
        <v>99</v>
      </c>
      <c r="C113" s="5"/>
      <c r="D113" s="87"/>
    </row>
    <row r="114" spans="2:4" x14ac:dyDescent="0.25">
      <c r="B114" s="3" t="s">
        <v>89</v>
      </c>
      <c r="C114" s="6"/>
      <c r="D114" s="88" t="s">
        <v>167</v>
      </c>
    </row>
    <row r="115" spans="2:4" ht="18" x14ac:dyDescent="0.25">
      <c r="B115" s="72" t="s">
        <v>148</v>
      </c>
      <c r="C115" s="41">
        <f>IF(F103="N/A","N/A",(F103/E103)^2+(F108/E108)*(1/(1-(F103/C162))))</f>
        <v>0.96536058124767232</v>
      </c>
      <c r="D115" s="88" t="str">
        <f>IF(C115="N/A", "N/A", IF(C115&gt;1, "This member will fail", "OK"))</f>
        <v>OK</v>
      </c>
    </row>
    <row r="116" spans="2:4" ht="18" x14ac:dyDescent="0.25">
      <c r="B116" s="72" t="s">
        <v>149</v>
      </c>
      <c r="C116" s="41">
        <f>IF(F104="N/A", "N/A", (F104/E104)^2+(F109/E109)*(1/(1-(F104/C162))))</f>
        <v>0.63779213413698332</v>
      </c>
      <c r="D116" s="88" t="str">
        <f t="shared" ref="D116:D117" si="3">IF(C116="N/A", "N/A", IF(C116&gt;1, "This member will fail", "OK"))</f>
        <v>OK</v>
      </c>
    </row>
    <row r="117" spans="2:4" ht="18" x14ac:dyDescent="0.25">
      <c r="B117" s="72" t="s">
        <v>150</v>
      </c>
      <c r="C117" s="41">
        <f>IF(F105="N/A", "N/A",(F105/E105)^2+(F110/E110)*(1/(1-(F105/C162))))</f>
        <v>0.54389048998354084</v>
      </c>
      <c r="D117" s="88" t="str">
        <f t="shared" si="3"/>
        <v>OK</v>
      </c>
    </row>
    <row r="118" spans="2:4" x14ac:dyDescent="0.25">
      <c r="B118" s="3"/>
      <c r="C118" s="41"/>
      <c r="D118" s="88"/>
    </row>
    <row r="119" spans="2:4" x14ac:dyDescent="0.25">
      <c r="B119" s="29" t="s">
        <v>88</v>
      </c>
      <c r="C119" s="41"/>
      <c r="D119" s="88"/>
    </row>
    <row r="120" spans="2:4" ht="18" x14ac:dyDescent="0.25">
      <c r="B120" s="72" t="s">
        <v>148</v>
      </c>
      <c r="C120" s="41" t="str">
        <f>IF(F98="N/A", "N/A", (F98/E98)+(F108/E108))</f>
        <v>N/A</v>
      </c>
      <c r="D120" s="88" t="str">
        <f>IF(C120="N/A", "N/A", IF(C120&gt;1, "This member will fail", "OK"))</f>
        <v>N/A</v>
      </c>
    </row>
    <row r="121" spans="2:4" ht="18" x14ac:dyDescent="0.25">
      <c r="B121" s="72" t="s">
        <v>149</v>
      </c>
      <c r="C121" s="41" t="str">
        <f t="shared" ref="C121:C122" si="4">IF(F99="N/A", "N/A", (F99/E99)+(F109/E109))</f>
        <v>N/A</v>
      </c>
      <c r="D121" s="88" t="str">
        <f t="shared" ref="D121:D122" si="5">IF(C121="N/A", "N/A", IF(C121&gt;1, "This member will fail", "OK"))</f>
        <v>N/A</v>
      </c>
    </row>
    <row r="122" spans="2:4" ht="18" x14ac:dyDescent="0.25">
      <c r="B122" s="73" t="s">
        <v>150</v>
      </c>
      <c r="C122" s="42">
        <f t="shared" si="4"/>
        <v>0.66708361059230481</v>
      </c>
      <c r="D122" s="89" t="str">
        <f t="shared" si="5"/>
        <v>OK</v>
      </c>
    </row>
    <row r="123" spans="2:4" x14ac:dyDescent="0.25">
      <c r="B123" s="26"/>
    </row>
    <row r="124" spans="2:4" x14ac:dyDescent="0.25">
      <c r="B124" s="26"/>
    </row>
    <row r="125" spans="2:4" x14ac:dyDescent="0.25">
      <c r="B125" s="26"/>
    </row>
    <row r="127" spans="2:4" ht="21" x14ac:dyDescent="0.35">
      <c r="B127" s="27" t="s">
        <v>98</v>
      </c>
    </row>
    <row r="128" spans="2:4" x14ac:dyDescent="0.25">
      <c r="B128" s="26"/>
    </row>
    <row r="129" spans="2:4" ht="18" x14ac:dyDescent="0.25">
      <c r="B129" s="76" t="s">
        <v>151</v>
      </c>
      <c r="C129" s="50">
        <f>D41/D39</f>
        <v>10.471204188481675</v>
      </c>
      <c r="D129" s="2" t="str">
        <f>IF(C129&gt;50, "This member will fail. Choose a shorter member of add support", "OK")</f>
        <v>OK</v>
      </c>
    </row>
    <row r="130" spans="2:4" ht="18" x14ac:dyDescent="0.25">
      <c r="B130" s="73" t="s">
        <v>152</v>
      </c>
      <c r="C130" s="42">
        <f>D41/D40</f>
        <v>8.2987551867219924</v>
      </c>
      <c r="D130" s="9" t="str">
        <f>IF(C130&gt;50, "This member will fail. Choose a shorter member of add support", "OK")</f>
        <v>OK</v>
      </c>
    </row>
    <row r="131" spans="2:4" x14ac:dyDescent="0.25">
      <c r="B131" s="3"/>
      <c r="C131" s="6"/>
      <c r="D131" s="7"/>
    </row>
    <row r="132" spans="2:4" ht="18" x14ac:dyDescent="0.25">
      <c r="B132" s="10"/>
      <c r="C132" s="5" t="s">
        <v>90</v>
      </c>
      <c r="D132" s="91" t="s">
        <v>173</v>
      </c>
    </row>
    <row r="133" spans="2:4" ht="18" x14ac:dyDescent="0.25">
      <c r="B133" s="72" t="s">
        <v>153</v>
      </c>
      <c r="C133" s="63">
        <f>6.3*(D41*D39)^(-0.13)</f>
        <v>1.1848743888651949</v>
      </c>
      <c r="D133" s="64">
        <f>IF(C133&gt;1.3, 1.3, C133)</f>
        <v>1.1848743888651949</v>
      </c>
    </row>
    <row r="134" spans="2:4" ht="18" x14ac:dyDescent="0.25">
      <c r="B134" s="73" t="s">
        <v>154</v>
      </c>
      <c r="C134" s="44">
        <f>6.3*(D41*D40)^(-0.13)</f>
        <v>1.14959385715244</v>
      </c>
      <c r="D134" s="65">
        <f>IF(C134&gt;1.3, 1.3, C134)</f>
        <v>1.14959385715244</v>
      </c>
    </row>
    <row r="137" spans="2:4" ht="18" x14ac:dyDescent="0.25">
      <c r="B137" s="76" t="s">
        <v>155</v>
      </c>
      <c r="C137" s="66">
        <f>(1+((C18*0.65*F26*F32*F27*D133*C129^3)/(35*C21*F30*F27)))^(-1)</f>
        <v>0.95863357297814444</v>
      </c>
    </row>
    <row r="138" spans="2:4" ht="18" x14ac:dyDescent="0.25">
      <c r="B138" s="72" t="s">
        <v>156</v>
      </c>
      <c r="C138" s="67">
        <f>(1+((C18*1*F26*F32*F27*D133*C129^3)/(35*C21*F30*F27)))^(-1)</f>
        <v>0.93774600288930576</v>
      </c>
    </row>
    <row r="139" spans="2:4" ht="18" x14ac:dyDescent="0.25">
      <c r="B139" s="72" t="s">
        <v>157</v>
      </c>
      <c r="C139" s="67">
        <f>(1+((C18*1.15*F26*F32*F27*D133*C129^3)/(35*C21*F30*F27)))^(-1)</f>
        <v>0.92907025236832042</v>
      </c>
    </row>
    <row r="140" spans="2:4" ht="18" x14ac:dyDescent="0.25">
      <c r="B140" s="72" t="s">
        <v>160</v>
      </c>
      <c r="C140" s="67">
        <f>(1+((C18*0.65*F26*F32*F27*D134*C130^3)/(35*C21*F30*F27)))^(-1)</f>
        <v>0.9795845756917495</v>
      </c>
    </row>
    <row r="141" spans="2:4" ht="18" x14ac:dyDescent="0.25">
      <c r="B141" s="72" t="s">
        <v>159</v>
      </c>
      <c r="C141" s="67">
        <f>(1+((C18*1*F26*F32*F27*D134*C130^3)/(35*C21*F30*F27)))^(-1)</f>
        <v>0.96893317011028934</v>
      </c>
    </row>
    <row r="142" spans="2:4" ht="18" x14ac:dyDescent="0.25">
      <c r="B142" s="73" t="s">
        <v>158</v>
      </c>
      <c r="C142" s="68">
        <f>(1+((C18*1.15*F26*F32*F27*D134*C130^3)/(35*C21*F30*F27)))^(-1)</f>
        <v>0.96443886140335278</v>
      </c>
    </row>
    <row r="146" spans="2:3" ht="18" x14ac:dyDescent="0.25">
      <c r="B146" s="76" t="s">
        <v>161</v>
      </c>
      <c r="C146" s="54">
        <f>IF(D35="concentrated load at centre", 1.61*D41,1.92*D41)</f>
        <v>3840</v>
      </c>
    </row>
    <row r="147" spans="2:3" ht="18" x14ac:dyDescent="0.25">
      <c r="B147" s="72" t="s">
        <v>122</v>
      </c>
      <c r="C147" s="55">
        <f>SQRT(C146*D40/(D39^2))</f>
        <v>5.0366383298202857</v>
      </c>
    </row>
    <row r="148" spans="2:3" ht="18" x14ac:dyDescent="0.25">
      <c r="B148" s="72" t="s">
        <v>162</v>
      </c>
      <c r="C148" s="55">
        <f>SQRT(0.97*C20*F30*F27/(C19*0.65*F26*F33*F27))</f>
        <v>33.69646131297354</v>
      </c>
    </row>
    <row r="149" spans="2:3" ht="18" x14ac:dyDescent="0.25">
      <c r="B149" s="72" t="s">
        <v>163</v>
      </c>
      <c r="C149" s="55">
        <f>SQRT(0.97*C20*F30*F27/(C19*1*F26*F33*F27))</f>
        <v>27.166955631076323</v>
      </c>
    </row>
    <row r="150" spans="2:3" ht="18" x14ac:dyDescent="0.25">
      <c r="B150" s="73" t="s">
        <v>164</v>
      </c>
      <c r="C150" s="56">
        <f>SQRT(0.97*C20*F30*F27/(C19*1.15*F26*F33*F27))</f>
        <v>25.33331675122994</v>
      </c>
    </row>
    <row r="153" spans="2:3" ht="18" x14ac:dyDescent="0.25">
      <c r="B153" s="76" t="s">
        <v>118</v>
      </c>
      <c r="C153" s="54">
        <f>IF(C147&lt;10,1,IF(C147&lt;C148,(1-1/3*((C147/C148)^4)),IF(C147&gt;50,"N/A",(0.65*C20*F30*F27/((C147^2)*C19*0.65*F26*F33*F27*1)))))</f>
        <v>1</v>
      </c>
    </row>
    <row r="154" spans="2:3" ht="18" x14ac:dyDescent="0.25">
      <c r="B154" s="72" t="s">
        <v>119</v>
      </c>
      <c r="C154" s="55">
        <f>IF(C147&lt;10,1,IF(C147&lt;C149,(1-1/3*((C147/C149)^4)),IF(C147&gt;50,"N/A",(1*C20*F30*F27/((C147^2)*C19*0.65*F26*F33*F27*1)))))</f>
        <v>1</v>
      </c>
    </row>
    <row r="155" spans="2:3" ht="18" x14ac:dyDescent="0.25">
      <c r="B155" s="73" t="s">
        <v>120</v>
      </c>
      <c r="C155" s="56">
        <f>IF(C147&lt;10,1,IF(C147&lt;C150,(1-1/3*((C147/C150)^4)),IF(C26+G1047&gt;50,"N/A",(1.15*C20*F30*F27/((C147^2)*C19*0.65*F26*F33*F27*1)))))</f>
        <v>1</v>
      </c>
    </row>
    <row r="158" spans="2:3" ht="17.25" x14ac:dyDescent="0.25">
      <c r="B158" s="78" t="s">
        <v>166</v>
      </c>
      <c r="C158" s="69">
        <f>D39*D40^2/6</f>
        <v>1848911.8333333333</v>
      </c>
    </row>
    <row r="159" spans="2:3" x14ac:dyDescent="0.25">
      <c r="C159" s="70"/>
    </row>
    <row r="160" spans="2:3" ht="17.25" x14ac:dyDescent="0.25">
      <c r="B160" s="78" t="s">
        <v>165</v>
      </c>
      <c r="C160" s="69">
        <f>D39*D40^3/12</f>
        <v>222793875.91666666</v>
      </c>
    </row>
    <row r="161" spans="2:3" x14ac:dyDescent="0.25">
      <c r="C161" s="70"/>
    </row>
    <row r="162" spans="2:3" ht="18" x14ac:dyDescent="0.25">
      <c r="B162" s="78" t="s">
        <v>121</v>
      </c>
      <c r="C162" s="69">
        <f>3.14159^2*C21*F30*F27*C160/((D41)^2)/1000</f>
        <v>3573.1860184198217</v>
      </c>
    </row>
  </sheetData>
  <phoneticPr fontId="6" type="noConversion"/>
  <pageMargins left="0.75000000000000011" right="0.75000000000000011" top="1" bottom="1" header="0.5" footer="0.5"/>
  <pageSetup scale="65" orientation="landscape" horizontalDpi="4294967292" verticalDpi="4294967292"/>
  <ignoredErrors>
    <ignoredError sqref="C155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Sheet2!$C$8:$C$11</xm:f>
          </x14:formula1>
          <xm:sqref>D24</xm:sqref>
        </x14:dataValidation>
        <x14:dataValidation type="list" allowBlank="1" showInputMessage="1" showErrorMessage="1">
          <x14:formula1>
            <xm:f>Sheet2!$C$14:$C$20</xm:f>
          </x14:formula1>
          <xm:sqref>D25</xm:sqref>
        </x14:dataValidation>
        <x14:dataValidation type="list" allowBlank="1" showInputMessage="1" showErrorMessage="1">
          <x14:formula1>
            <xm:f>Sheet2!$C$30:$C$32</xm:f>
          </x14:formula1>
          <xm:sqref>D28</xm:sqref>
        </x14:dataValidation>
        <x14:dataValidation type="list" allowBlank="1" showInputMessage="1" showErrorMessage="1">
          <x14:formula1>
            <xm:f>Sheet2!$C$41:$C$42</xm:f>
          </x14:formula1>
          <xm:sqref>D27</xm:sqref>
        </x14:dataValidation>
        <x14:dataValidation type="list" allowBlank="1" showInputMessage="1" showErrorMessage="1">
          <x14:formula1>
            <xm:f>Sheet2!$C$36:$C$37</xm:f>
          </x14:formula1>
          <xm:sqref>D29</xm:sqref>
        </x14:dataValidation>
        <x14:dataValidation type="list" allowBlank="1" showInputMessage="1" showErrorMessage="1">
          <x14:formula1>
            <xm:f>Sheet2!$C$45:$C$46</xm:f>
          </x14:formula1>
          <xm:sqref>D26</xm:sqref>
        </x14:dataValidation>
        <x14:dataValidation type="list" allowBlank="1" showInputMessage="1" showErrorMessage="1">
          <x14:formula1>
            <xm:f>Sheet2!$C$50:$C$52</xm:f>
          </x14:formula1>
          <xm:sqref>D35</xm:sqref>
        </x14:dataValidation>
        <x14:dataValidation type="list" allowBlank="1" showInputMessage="1" showErrorMessage="1">
          <x14:formula1>
            <xm:f>Sheet2!$C$55:$C$61</xm:f>
          </x14:formula1>
          <xm:sqref>D37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61"/>
  <sheetViews>
    <sheetView workbookViewId="0">
      <selection activeCell="C62" sqref="C62"/>
    </sheetView>
  </sheetViews>
  <sheetFormatPr defaultColWidth="11" defaultRowHeight="15.75" x14ac:dyDescent="0.25"/>
  <sheetData>
    <row r="7" spans="3:3" x14ac:dyDescent="0.25">
      <c r="C7" t="s">
        <v>1</v>
      </c>
    </row>
    <row r="8" spans="3:3" x14ac:dyDescent="0.25">
      <c r="C8" t="s">
        <v>6</v>
      </c>
    </row>
    <row r="9" spans="3:3" x14ac:dyDescent="0.25">
      <c r="C9" t="s">
        <v>7</v>
      </c>
    </row>
    <row r="10" spans="3:3" x14ac:dyDescent="0.25">
      <c r="C10" t="s">
        <v>8</v>
      </c>
    </row>
    <row r="11" spans="3:3" x14ac:dyDescent="0.25">
      <c r="C11" t="s">
        <v>9</v>
      </c>
    </row>
    <row r="13" spans="3:3" x14ac:dyDescent="0.25">
      <c r="C13" t="s">
        <v>2</v>
      </c>
    </row>
    <row r="14" spans="3:3" x14ac:dyDescent="0.25">
      <c r="C14" t="s">
        <v>10</v>
      </c>
    </row>
    <row r="15" spans="3:3" x14ac:dyDescent="0.25">
      <c r="C15" t="s">
        <v>11</v>
      </c>
    </row>
    <row r="16" spans="3:3" x14ac:dyDescent="0.25">
      <c r="C16" t="s">
        <v>12</v>
      </c>
    </row>
    <row r="17" spans="3:3" x14ac:dyDescent="0.25">
      <c r="C17" t="s">
        <v>13</v>
      </c>
    </row>
    <row r="18" spans="3:3" x14ac:dyDescent="0.25">
      <c r="C18" t="s">
        <v>14</v>
      </c>
    </row>
    <row r="19" spans="3:3" x14ac:dyDescent="0.25">
      <c r="C19" t="s">
        <v>26</v>
      </c>
    </row>
    <row r="20" spans="3:3" x14ac:dyDescent="0.25">
      <c r="C20" t="s">
        <v>27</v>
      </c>
    </row>
    <row r="29" spans="3:3" x14ac:dyDescent="0.25">
      <c r="C29" t="s">
        <v>15</v>
      </c>
    </row>
    <row r="30" spans="3:3" x14ac:dyDescent="0.25">
      <c r="C30" t="s">
        <v>16</v>
      </c>
    </row>
    <row r="31" spans="3:3" x14ac:dyDescent="0.25">
      <c r="C31" t="s">
        <v>17</v>
      </c>
    </row>
    <row r="32" spans="3:3" x14ac:dyDescent="0.25">
      <c r="C32" t="s">
        <v>18</v>
      </c>
    </row>
    <row r="35" spans="3:3" x14ac:dyDescent="0.25">
      <c r="C35" t="s">
        <v>3</v>
      </c>
    </row>
    <row r="36" spans="3:3" x14ac:dyDescent="0.25">
      <c r="C36" t="s">
        <v>20</v>
      </c>
    </row>
    <row r="37" spans="3:3" x14ac:dyDescent="0.25">
      <c r="C37" t="s">
        <v>21</v>
      </c>
    </row>
    <row r="40" spans="3:3" x14ac:dyDescent="0.25">
      <c r="C40" t="s">
        <v>5</v>
      </c>
    </row>
    <row r="41" spans="3:3" x14ac:dyDescent="0.25">
      <c r="C41" t="s">
        <v>22</v>
      </c>
    </row>
    <row r="42" spans="3:3" x14ac:dyDescent="0.25">
      <c r="C42" t="s">
        <v>23</v>
      </c>
    </row>
    <row r="44" spans="3:3" x14ac:dyDescent="0.25">
      <c r="C44" t="s">
        <v>4</v>
      </c>
    </row>
    <row r="45" spans="3:3" x14ac:dyDescent="0.25">
      <c r="C45" t="s">
        <v>24</v>
      </c>
    </row>
    <row r="46" spans="3:3" x14ac:dyDescent="0.25">
      <c r="C46" t="s">
        <v>25</v>
      </c>
    </row>
    <row r="49" spans="3:3" x14ac:dyDescent="0.25">
      <c r="C49" t="s">
        <v>78</v>
      </c>
    </row>
    <row r="50" spans="3:3" x14ac:dyDescent="0.25">
      <c r="C50" t="s">
        <v>79</v>
      </c>
    </row>
    <row r="51" spans="3:3" x14ac:dyDescent="0.25">
      <c r="C51" t="s">
        <v>80</v>
      </c>
    </row>
    <row r="52" spans="3:3" x14ac:dyDescent="0.25">
      <c r="C52" t="s">
        <v>81</v>
      </c>
    </row>
    <row r="54" spans="3:3" x14ac:dyDescent="0.25">
      <c r="C54" t="s">
        <v>19</v>
      </c>
    </row>
    <row r="55" spans="3:3" x14ac:dyDescent="0.25">
      <c r="C55" t="s">
        <v>100</v>
      </c>
    </row>
    <row r="56" spans="3:3" x14ac:dyDescent="0.25">
      <c r="C56" t="s">
        <v>14</v>
      </c>
    </row>
    <row r="57" spans="3:3" x14ac:dyDescent="0.25">
      <c r="C57" t="s">
        <v>101</v>
      </c>
    </row>
    <row r="58" spans="3:3" x14ac:dyDescent="0.25">
      <c r="C58" t="s">
        <v>102</v>
      </c>
    </row>
    <row r="59" spans="3:3" x14ac:dyDescent="0.25">
      <c r="C59" t="s">
        <v>103</v>
      </c>
    </row>
    <row r="60" spans="3:3" x14ac:dyDescent="0.25">
      <c r="C60" t="s">
        <v>104</v>
      </c>
    </row>
    <row r="61" spans="3:3" x14ac:dyDescent="0.25">
      <c r="C61" t="s">
        <v>105</v>
      </c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McLaughlin</dc:creator>
  <cp:lastModifiedBy>Jeffrey Erochko</cp:lastModifiedBy>
  <cp:lastPrinted>2014-04-01T00:19:32Z</cp:lastPrinted>
  <dcterms:created xsi:type="dcterms:W3CDTF">2014-03-28T20:10:02Z</dcterms:created>
  <dcterms:modified xsi:type="dcterms:W3CDTF">2014-04-25T15:15:07Z</dcterms:modified>
</cp:coreProperties>
</file>