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420" yWindow="-225" windowWidth="11190" windowHeight="10110"/>
  </bookViews>
  <sheets>
    <sheet name="Sheet1" sheetId="1" r:id="rId1"/>
    <sheet name="Sheet2" sheetId="2" r:id="rId2"/>
    <sheet name="Sheet3" sheetId="3" r:id="rId3"/>
  </sheets>
  <definedNames>
    <definedName name="Kd">Sheet2!$A$5:$A$7</definedName>
    <definedName name="Ksf">Sheet2!$A$17:$A$20</definedName>
    <definedName name="Kt">Sheet2!$A$11:$A$14</definedName>
  </definedNames>
  <calcPr calcId="152511"/>
</workbook>
</file>

<file path=xl/calcChain.xml><?xml version="1.0" encoding="utf-8"?>
<calcChain xmlns="http://schemas.openxmlformats.org/spreadsheetml/2006/main">
  <c r="C8" i="1" l="1"/>
  <c r="B19" i="1"/>
  <c r="C9" i="1" s="1"/>
  <c r="B15" i="1" l="1"/>
  <c r="C15" i="1" s="1"/>
  <c r="B49" i="1" l="1"/>
  <c r="F29" i="1"/>
  <c r="F30" i="1"/>
  <c r="F28" i="1"/>
  <c r="E24" i="1"/>
  <c r="G24" i="1" s="1"/>
  <c r="E23" i="1"/>
  <c r="G23" i="1" s="1"/>
  <c r="E22" i="1"/>
  <c r="G22" i="1" s="1"/>
  <c r="E21" i="1"/>
  <c r="G21" i="1" s="1"/>
  <c r="E20" i="1"/>
  <c r="G20" i="1" s="1"/>
  <c r="B59" i="1" l="1"/>
  <c r="B61" i="1" s="1"/>
  <c r="B51" i="1"/>
  <c r="B34" i="1"/>
  <c r="B35" i="1"/>
  <c r="B37" i="1" l="1"/>
  <c r="B38" i="1"/>
  <c r="B36" i="1"/>
  <c r="B39" i="1"/>
  <c r="B40" i="1" l="1"/>
  <c r="B42" i="1" s="1"/>
</calcChain>
</file>

<file path=xl/sharedStrings.xml><?xml version="1.0" encoding="utf-8"?>
<sst xmlns="http://schemas.openxmlformats.org/spreadsheetml/2006/main" count="122" uniqueCount="88">
  <si>
    <t>April , 2014</t>
  </si>
  <si>
    <t>"For EDUCATIONAL PURPOSES ONLY - Not for use as a design aid"</t>
  </si>
  <si>
    <t>Spacing Check:</t>
  </si>
  <si>
    <t>Row Spacing (Sc):</t>
  </si>
  <si>
    <t>fastner diameter (df):</t>
  </si>
  <si>
    <t>Unloaded end distance (a):</t>
  </si>
  <si>
    <t>mm</t>
  </si>
  <si>
    <t>≥</t>
  </si>
  <si>
    <t>Input:</t>
  </si>
  <si>
    <t>Output:</t>
  </si>
  <si>
    <t>&gt;&gt;</t>
  </si>
  <si>
    <t xml:space="preserve">Nr = Φy nu ns nf              </t>
  </si>
  <si>
    <t xml:space="preserve">Resistance factor for yielding failures (Φy) = </t>
  </si>
  <si>
    <t>*User input*</t>
  </si>
  <si>
    <t>Unit lateral yielding resistance (nu) =</t>
  </si>
  <si>
    <t>Case a =</t>
  </si>
  <si>
    <t xml:space="preserve">Wood (Lumber) - D Fir -L (N) </t>
  </si>
  <si>
    <t>G =</t>
  </si>
  <si>
    <t>fu =</t>
  </si>
  <si>
    <t>Mpa</t>
  </si>
  <si>
    <t>Resistance factor for metal member (Φsteel) =</t>
  </si>
  <si>
    <t>f1 (steel) =</t>
  </si>
  <si>
    <t>f2 (wood) =</t>
  </si>
  <si>
    <t>t1 (steel) =</t>
  </si>
  <si>
    <t>t2 (wood) =</t>
  </si>
  <si>
    <t>Long Term</t>
  </si>
  <si>
    <t>Standard</t>
  </si>
  <si>
    <t>Short Term</t>
  </si>
  <si>
    <t>kd</t>
  </si>
  <si>
    <t xml:space="preserve">Treatment Factor </t>
  </si>
  <si>
    <t>Wet and Treatment Incised</t>
  </si>
  <si>
    <t>Dry and Treatment Incised</t>
  </si>
  <si>
    <t>Wet or Dry and Untreated Lumber</t>
  </si>
  <si>
    <t>Wet or Dry and Treatment Unincised</t>
  </si>
  <si>
    <t>Seasoned Dry</t>
  </si>
  <si>
    <t>Seasoned Wet</t>
  </si>
  <si>
    <t>Unseasoned Dry</t>
  </si>
  <si>
    <t>Unseasoned Wet</t>
  </si>
  <si>
    <t>kt</t>
  </si>
  <si>
    <t>ksf</t>
  </si>
  <si>
    <t>KN</t>
  </si>
  <si>
    <t>Case c =</t>
  </si>
  <si>
    <t xml:space="preserve">Case d = </t>
  </si>
  <si>
    <t>fy =</t>
  </si>
  <si>
    <t>Case g =</t>
  </si>
  <si>
    <t>Resistance factor for brittle failures (Φw) =</t>
  </si>
  <si>
    <t xml:space="preserve"> QSi =</t>
  </si>
  <si>
    <t>Width (b) =</t>
  </si>
  <si>
    <t>Depth (d) =</t>
  </si>
  <si>
    <t xml:space="preserve">QSri = Φw QSi (Kd Ksf Kt)  </t>
  </si>
  <si>
    <t xml:space="preserve">Nr = </t>
  </si>
  <si>
    <t>Mississauga, ON: Canadian Standards Association.</t>
  </si>
  <si>
    <t xml:space="preserve">Vr = </t>
  </si>
  <si>
    <t>An =</t>
  </si>
  <si>
    <t>fv =</t>
  </si>
  <si>
    <t>Built -up beams</t>
  </si>
  <si>
    <t>Ksv:</t>
  </si>
  <si>
    <t>Dry service conditions</t>
  </si>
  <si>
    <t>Kzv:</t>
  </si>
  <si>
    <t>Shear resistance factor (Φ) =</t>
  </si>
  <si>
    <t>All other properties</t>
  </si>
  <si>
    <t xml:space="preserve">QSri = </t>
  </si>
  <si>
    <t>MPa</t>
  </si>
  <si>
    <r>
      <t xml:space="preserve">Canadian Standards Association (CSA) (2010) </t>
    </r>
    <r>
      <rPr>
        <i/>
        <sz val="12"/>
        <color theme="1"/>
        <rFont val="Times New Roman"/>
        <family val="1"/>
      </rPr>
      <t>O86-09 Engineering design in wood with Update No.1.</t>
    </r>
    <r>
      <rPr>
        <sz val="12"/>
        <color theme="1"/>
        <rFont val="Times New Roman"/>
        <family val="1"/>
      </rPr>
      <t xml:space="preserve"> </t>
    </r>
  </si>
  <si>
    <t>mm^2</t>
  </si>
  <si>
    <t xml:space="preserve">Fv = </t>
  </si>
  <si>
    <t># of shear planes in the joint (ns) =</t>
  </si>
  <si>
    <t># of fasteners in the joint (nf) =</t>
  </si>
  <si>
    <t>*Output - Results will vary*</t>
  </si>
  <si>
    <t>Spacing of fasteners in a row (SR):</t>
  </si>
  <si>
    <t xml:space="preserve">Loaded edge distance (eQ): </t>
  </si>
  <si>
    <t>Unloaded edge distance (ep):</t>
  </si>
  <si>
    <r>
      <t>K</t>
    </r>
    <r>
      <rPr>
        <sz val="10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>:</t>
    </r>
  </si>
  <si>
    <r>
      <t>K</t>
    </r>
    <r>
      <rPr>
        <sz val="10"/>
        <color theme="1"/>
        <rFont val="Times New Roman"/>
        <family val="1"/>
      </rPr>
      <t>SF</t>
    </r>
    <r>
      <rPr>
        <sz val="11"/>
        <color theme="1"/>
        <rFont val="Times New Roman"/>
        <family val="1"/>
      </rPr>
      <t xml:space="preserve">: </t>
    </r>
  </si>
  <si>
    <r>
      <t>K</t>
    </r>
    <r>
      <rPr>
        <sz val="9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>:</t>
    </r>
  </si>
  <si>
    <r>
      <t>K</t>
    </r>
    <r>
      <rPr>
        <sz val="10"/>
        <color theme="1"/>
        <rFont val="Times New Roman"/>
        <family val="1"/>
      </rPr>
      <t>H:</t>
    </r>
  </si>
  <si>
    <t>These are used in the creation of the drop list process - please ignore</t>
  </si>
  <si>
    <t>Three member Steel-Wood-Steel bolted connection with load perpendicular to grain based on CAN/CSA-O86-09</t>
  </si>
  <si>
    <t>Yielding Resistance Check:</t>
  </si>
  <si>
    <t>Splitting Resistance Check:</t>
  </si>
  <si>
    <t>Shear Resistance Check:</t>
  </si>
  <si>
    <t>Reference:</t>
  </si>
  <si>
    <t>Ag =</t>
  </si>
  <si>
    <t xml:space="preserve"># of bolt rows </t>
  </si>
  <si>
    <t>Bolt hole size:</t>
  </si>
  <si>
    <t>Area Check:</t>
  </si>
  <si>
    <t>An/Ag =</t>
  </si>
  <si>
    <t>Karim Shaheen, Carleton University, Ottawa, Ontario,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</si>
</sst>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1" fillId="0" borderId="0" xfId="0" applyFont="1" applyBorder="1"/>
    <xf numFmtId="0" fontId="1" fillId="3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0" borderId="0" xfId="0" applyFont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0" borderId="0" xfId="0" applyFont="1"/>
    <xf numFmtId="0" fontId="0" fillId="4" borderId="2" xfId="0" applyFill="1" applyBorder="1"/>
    <xf numFmtId="0" fontId="0" fillId="0" borderId="0" xfId="0" applyFill="1" applyBorder="1" applyAlignment="1">
      <alignment horizontal="right"/>
    </xf>
    <xf numFmtId="0" fontId="0" fillId="0" borderId="7" xfId="0" applyFill="1" applyBorder="1"/>
    <xf numFmtId="0" fontId="0" fillId="0" borderId="9" xfId="0" applyFill="1" applyBorder="1" applyAlignment="1">
      <alignment horizontal="right"/>
    </xf>
    <xf numFmtId="0" fontId="0" fillId="0" borderId="4" xfId="0" applyFill="1" applyBorder="1"/>
    <xf numFmtId="0" fontId="0" fillId="0" borderId="5" xfId="0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3" fillId="3" borderId="0" xfId="0" applyFont="1" applyFill="1" applyBorder="1"/>
    <xf numFmtId="17" fontId="3" fillId="2" borderId="0" xfId="0" quotePrefix="1" applyNumberFormat="1" applyFont="1" applyFill="1" applyBorder="1"/>
    <xf numFmtId="0" fontId="1" fillId="0" borderId="0" xfId="0" applyFont="1" applyFill="1" applyBorder="1"/>
    <xf numFmtId="0" fontId="0" fillId="0" borderId="0" xfId="0" applyBorder="1"/>
    <xf numFmtId="0" fontId="0" fillId="5" borderId="2" xfId="0" applyFill="1" applyBorder="1"/>
    <xf numFmtId="0" fontId="9" fillId="0" borderId="3" xfId="0" applyFont="1" applyFill="1" applyBorder="1" applyAlignment="1">
      <alignment horizontal="right"/>
    </xf>
    <xf numFmtId="0" fontId="9" fillId="0" borderId="5" xfId="0" applyFont="1" applyFill="1" applyBorder="1"/>
    <xf numFmtId="0" fontId="9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5" borderId="2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0" xfId="0" applyFont="1"/>
    <xf numFmtId="0" fontId="10" fillId="0" borderId="3" xfId="0" applyFont="1" applyFill="1" applyBorder="1"/>
    <xf numFmtId="0" fontId="9" fillId="0" borderId="4" xfId="0" applyFont="1" applyFill="1" applyBorder="1"/>
    <xf numFmtId="0" fontId="10" fillId="0" borderId="0" xfId="0" applyFont="1" applyFill="1" applyBorder="1"/>
    <xf numFmtId="0" fontId="8" fillId="0" borderId="6" xfId="0" applyFont="1" applyFill="1" applyBorder="1"/>
    <xf numFmtId="0" fontId="9" fillId="4" borderId="2" xfId="0" applyFont="1" applyFill="1" applyBorder="1"/>
    <xf numFmtId="0" fontId="8" fillId="0" borderId="6" xfId="0" applyFont="1" applyFill="1" applyBorder="1" applyAlignment="1"/>
    <xf numFmtId="0" fontId="8" fillId="0" borderId="8" xfId="0" applyFont="1" applyFill="1" applyBorder="1"/>
    <xf numFmtId="0" fontId="8" fillId="4" borderId="2" xfId="0" applyFont="1" applyFill="1" applyBorder="1" applyAlignment="1">
      <alignment horizontal="center"/>
    </xf>
    <xf numFmtId="0" fontId="9" fillId="0" borderId="6" xfId="0" applyFont="1" applyBorder="1"/>
    <xf numFmtId="0" fontId="9" fillId="0" borderId="0" xfId="0" applyFont="1" applyBorder="1"/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left"/>
    </xf>
    <xf numFmtId="164" fontId="9" fillId="5" borderId="2" xfId="0" applyNumberFormat="1" applyFont="1" applyFill="1" applyBorder="1"/>
    <xf numFmtId="0" fontId="9" fillId="0" borderId="7" xfId="0" applyFont="1" applyBorder="1"/>
    <xf numFmtId="0" fontId="9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right"/>
    </xf>
    <xf numFmtId="0" fontId="0" fillId="0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Fill="1" applyBorder="1"/>
    <xf numFmtId="0" fontId="0" fillId="0" borderId="17" xfId="0" applyBorder="1"/>
    <xf numFmtId="0" fontId="0" fillId="0" borderId="12" xfId="0" applyFont="1" applyBorder="1"/>
    <xf numFmtId="0" fontId="0" fillId="0" borderId="14" xfId="0" applyBorder="1"/>
    <xf numFmtId="0" fontId="0" fillId="0" borderId="16" xfId="0" applyBorder="1"/>
    <xf numFmtId="0" fontId="0" fillId="0" borderId="11" xfId="0" applyFont="1" applyBorder="1"/>
    <xf numFmtId="0" fontId="0" fillId="0" borderId="11" xfId="0" applyBorder="1"/>
    <xf numFmtId="2" fontId="0" fillId="0" borderId="15" xfId="0" applyNumberFormat="1" applyBorder="1"/>
    <xf numFmtId="0" fontId="8" fillId="0" borderId="6" xfId="0" applyFont="1" applyFill="1" applyBorder="1" applyAlignment="1">
      <alignment horizontal="right" shrinkToFit="1"/>
    </xf>
    <xf numFmtId="0" fontId="12" fillId="2" borderId="0" xfId="0" applyFont="1" applyFill="1" applyBorder="1"/>
    <xf numFmtId="0" fontId="12" fillId="3" borderId="0" xfId="0" applyFont="1" applyFill="1" applyBorder="1"/>
    <xf numFmtId="164" fontId="9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9" fillId="5" borderId="2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9" fillId="4" borderId="0" xfId="0" applyFont="1" applyFill="1" applyBorder="1"/>
    <xf numFmtId="0" fontId="9" fillId="5" borderId="0" xfId="0" applyFont="1" applyFill="1" applyBorder="1"/>
    <xf numFmtId="0" fontId="1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right"/>
    </xf>
    <xf numFmtId="2" fontId="0" fillId="5" borderId="18" xfId="0" applyNumberFormat="1" applyFill="1" applyBorder="1"/>
    <xf numFmtId="0" fontId="0" fillId="5" borderId="19" xfId="0" applyFill="1" applyBorder="1"/>
    <xf numFmtId="0" fontId="9" fillId="4" borderId="2" xfId="0" applyFont="1" applyFill="1" applyBorder="1" applyAlignment="1">
      <alignment horizontal="right"/>
    </xf>
  </cellXfs>
  <cellStyles count="1">
    <cellStyle name="Normal" xfId="0" builtinId="0"/>
  </cellStyles>
  <dxfs count="7">
    <dxf>
      <font>
        <b/>
        <i val="0"/>
        <color rgb="FF117922"/>
      </font>
    </dxf>
    <dxf>
      <font>
        <b/>
        <i val="0"/>
        <color rgb="FF117922"/>
      </font>
    </dxf>
    <dxf>
      <font>
        <b/>
        <i val="0"/>
        <color rgb="FF117922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6" tint="-0.24994659260841701"/>
      </font>
    </dxf>
    <dxf>
      <font>
        <b/>
        <i val="0"/>
        <color rgb="FF117922"/>
      </font>
    </dxf>
  </dxfs>
  <tableStyles count="0" defaultTableStyle="TableStyleMedium2" defaultPivotStyle="PivotStyleMedium9"/>
  <colors>
    <mruColors>
      <color rgb="FF1179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</xdr:colOff>
      <xdr:row>54</xdr:row>
      <xdr:rowOff>123826</xdr:rowOff>
    </xdr:from>
    <xdr:ext cx="2505075" cy="257699"/>
    <xdr:sp macro="" textlink="">
      <xdr:nvSpPr>
        <xdr:cNvPr id="2" name="TextBox 1"/>
        <xdr:cNvSpPr txBox="1"/>
      </xdr:nvSpPr>
      <xdr:spPr>
        <a:xfrm>
          <a:off x="57149" y="10734676"/>
          <a:ext cx="2505075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 i="0">
              <a:latin typeface="Times New Roman" pitchFamily="18" charset="0"/>
              <a:cs typeface="Times New Roman" pitchFamily="18" charset="0"/>
            </a:rPr>
            <a:t>𝑉𝑟=  2𝐴𝑛/3  </a:t>
          </a:r>
          <a:r>
            <a:rPr lang="el-GR" sz="1100">
              <a:latin typeface="Times New Roman" pitchFamily="18" charset="0"/>
              <a:cs typeface="Times New Roman" pitchFamily="18" charset="0"/>
            </a:rPr>
            <a:t>Φ</a:t>
          </a:r>
          <a:r>
            <a:rPr lang="en-US" sz="1100">
              <a:latin typeface="Times New Roman" pitchFamily="18" charset="0"/>
              <a:cs typeface="Times New Roman" pitchFamily="18" charset="0"/>
            </a:rPr>
            <a:t> Fv Kzv     (CL 5.5.5.1)</a:t>
          </a:r>
        </a:p>
      </xdr:txBody>
    </xdr:sp>
    <xdr:clientData/>
  </xdr:oneCellAnchor>
  <xdr:twoCellAnchor editAs="oneCell">
    <xdr:from>
      <xdr:col>4</xdr:col>
      <xdr:colOff>342900</xdr:colOff>
      <xdr:row>4</xdr:row>
      <xdr:rowOff>39510</xdr:rowOff>
    </xdr:from>
    <xdr:to>
      <xdr:col>6</xdr:col>
      <xdr:colOff>561975</xdr:colOff>
      <xdr:row>12</xdr:row>
      <xdr:rowOff>114301</xdr:rowOff>
    </xdr:to>
    <xdr:pic>
      <xdr:nvPicPr>
        <xdr:cNvPr id="5" name="Picture 4" descr="Cap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0075" y="992010"/>
          <a:ext cx="2628900" cy="169404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activeCell="A4" sqref="A4"/>
    </sheetView>
  </sheetViews>
  <sheetFormatPr defaultRowHeight="15" x14ac:dyDescent="0.25"/>
  <cols>
    <col min="1" max="1" width="27.7109375" customWidth="1"/>
    <col min="2" max="2" width="17.28515625" customWidth="1"/>
    <col min="3" max="3" width="10.140625" customWidth="1"/>
    <col min="4" max="4" width="5.85546875" customWidth="1"/>
    <col min="5" max="5" width="31.28515625" customWidth="1"/>
    <col min="6" max="6" width="4.85546875" customWidth="1"/>
    <col min="7" max="7" width="11.7109375" customWidth="1"/>
    <col min="8" max="8" width="32.5703125" customWidth="1"/>
    <col min="9" max="9" width="11.42578125" customWidth="1"/>
  </cols>
  <sheetData>
    <row r="1" spans="1:18" ht="18.75" x14ac:dyDescent="0.3">
      <c r="A1" s="20" t="s">
        <v>77</v>
      </c>
      <c r="B1" s="7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5"/>
      <c r="P1" s="4"/>
      <c r="Q1" s="4"/>
      <c r="R1" s="4"/>
    </row>
    <row r="2" spans="1:18" ht="18.75" x14ac:dyDescent="0.3">
      <c r="A2" s="74" t="s">
        <v>1</v>
      </c>
      <c r="B2" s="74"/>
      <c r="C2" s="75"/>
      <c r="D2" s="75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4"/>
      <c r="Q2" s="4"/>
      <c r="R2" s="4"/>
    </row>
    <row r="3" spans="1:18" ht="18.75" x14ac:dyDescent="0.3">
      <c r="A3" s="21" t="s">
        <v>87</v>
      </c>
      <c r="B3" s="22"/>
      <c r="C3" s="22"/>
      <c r="D3" s="22"/>
      <c r="E3" s="6"/>
      <c r="F3" s="6"/>
      <c r="G3" s="6"/>
      <c r="H3" s="6"/>
      <c r="I3" s="5"/>
      <c r="J3" s="5"/>
      <c r="K3" s="5"/>
      <c r="L3" s="5"/>
      <c r="M3" s="5"/>
      <c r="N3" s="5"/>
      <c r="O3" s="5"/>
      <c r="P3" s="4"/>
      <c r="Q3" s="4"/>
      <c r="R3" s="4"/>
    </row>
    <row r="4" spans="1:18" ht="18.75" x14ac:dyDescent="0.3">
      <c r="A4" s="23" t="s">
        <v>0</v>
      </c>
      <c r="B4" s="23"/>
      <c r="C4" s="22"/>
      <c r="D4" s="22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4"/>
      <c r="Q4" s="4"/>
      <c r="R4" s="4"/>
    </row>
    <row r="5" spans="1:18" ht="18.7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  <c r="R5" s="4"/>
    </row>
    <row r="6" spans="1:18" ht="18.75" x14ac:dyDescent="0.3">
      <c r="A6" s="32" t="s">
        <v>16</v>
      </c>
      <c r="B6" s="32" t="s">
        <v>47</v>
      </c>
      <c r="C6" s="91">
        <v>84</v>
      </c>
      <c r="D6" s="29" t="s">
        <v>6</v>
      </c>
      <c r="E6" s="24"/>
      <c r="F6" s="24"/>
      <c r="G6" s="24"/>
      <c r="H6" s="24"/>
      <c r="I6" s="2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29"/>
      <c r="B7" s="32" t="s">
        <v>48</v>
      </c>
      <c r="C7" s="14">
        <v>235</v>
      </c>
      <c r="D7" s="3" t="s">
        <v>6</v>
      </c>
      <c r="H7" s="3"/>
      <c r="I7" s="3"/>
    </row>
    <row r="8" spans="1:18" x14ac:dyDescent="0.25">
      <c r="A8" s="32"/>
      <c r="B8" s="32" t="s">
        <v>82</v>
      </c>
      <c r="C8" s="26">
        <f>C6*C7</f>
        <v>19740</v>
      </c>
      <c r="D8" s="3" t="s">
        <v>64</v>
      </c>
      <c r="E8" s="29"/>
      <c r="F8" s="3"/>
      <c r="G8" s="3"/>
      <c r="H8" s="3"/>
      <c r="I8" s="3"/>
    </row>
    <row r="9" spans="1:18" x14ac:dyDescent="0.25">
      <c r="B9" s="32" t="s">
        <v>53</v>
      </c>
      <c r="C9" s="26">
        <f>((C7-(B10*B19))*C6)</f>
        <v>16044</v>
      </c>
      <c r="D9" s="10" t="s">
        <v>64</v>
      </c>
      <c r="H9" s="3"/>
      <c r="I9" s="3"/>
    </row>
    <row r="10" spans="1:18" x14ac:dyDescent="0.25">
      <c r="A10" s="82" t="s">
        <v>83</v>
      </c>
      <c r="B10" s="14">
        <v>2</v>
      </c>
      <c r="C10" s="32" t="s">
        <v>17</v>
      </c>
      <c r="D10" s="29">
        <v>0.49</v>
      </c>
      <c r="E10" s="29"/>
      <c r="F10" s="3"/>
      <c r="G10" s="3"/>
      <c r="H10" s="3"/>
      <c r="I10" s="3"/>
    </row>
    <row r="11" spans="1:18" x14ac:dyDescent="0.25">
      <c r="B11" s="32" t="s">
        <v>18</v>
      </c>
      <c r="C11" s="29">
        <v>400</v>
      </c>
      <c r="D11" s="29" t="s">
        <v>19</v>
      </c>
      <c r="E11" s="29"/>
      <c r="F11" s="3"/>
      <c r="G11" s="3"/>
      <c r="H11" s="3"/>
      <c r="I11" s="3"/>
    </row>
    <row r="12" spans="1:18" x14ac:dyDescent="0.25">
      <c r="A12" s="83" t="s">
        <v>13</v>
      </c>
      <c r="B12" s="32" t="s">
        <v>43</v>
      </c>
      <c r="C12" s="29">
        <v>310</v>
      </c>
      <c r="D12" s="29" t="s">
        <v>19</v>
      </c>
      <c r="E12" s="29"/>
      <c r="F12" s="3"/>
      <c r="G12" s="3"/>
      <c r="H12" s="3"/>
      <c r="I12" s="3"/>
    </row>
    <row r="13" spans="1:18" ht="15.75" thickBot="1" x14ac:dyDescent="0.3">
      <c r="A13" s="84" t="s">
        <v>68</v>
      </c>
      <c r="B13" s="32" t="s">
        <v>54</v>
      </c>
      <c r="C13" s="29">
        <v>1.9</v>
      </c>
      <c r="D13" s="29" t="s">
        <v>62</v>
      </c>
      <c r="E13" s="38"/>
    </row>
    <row r="14" spans="1:18" x14ac:dyDescent="0.25">
      <c r="A14" s="85" t="s">
        <v>85</v>
      </c>
      <c r="B14" s="86"/>
      <c r="C14" s="87"/>
    </row>
    <row r="15" spans="1:18" ht="15.75" thickBot="1" x14ac:dyDescent="0.3">
      <c r="A15" s="88" t="s">
        <v>86</v>
      </c>
      <c r="B15" s="89">
        <f>C9/C8*100</f>
        <v>81.276595744680847</v>
      </c>
      <c r="C15" s="90" t="str">
        <f>IF(B15&lt;0.75,"Error An &lt; 75% Ag Try a different section  ", "OK ")</f>
        <v xml:space="preserve">OK </v>
      </c>
    </row>
    <row r="16" spans="1:18" x14ac:dyDescent="0.25">
      <c r="A16" s="39" t="s">
        <v>2</v>
      </c>
      <c r="B16" s="40"/>
      <c r="C16" s="40"/>
      <c r="D16" s="40"/>
      <c r="E16" s="40"/>
      <c r="F16" s="18"/>
      <c r="G16" s="19"/>
      <c r="H16" s="3"/>
      <c r="I16" s="3"/>
    </row>
    <row r="17" spans="1:9" x14ac:dyDescent="0.25">
      <c r="A17" s="30"/>
      <c r="B17" s="41" t="s">
        <v>8</v>
      </c>
      <c r="C17" s="29"/>
      <c r="D17" s="29"/>
      <c r="E17" s="41" t="s">
        <v>9</v>
      </c>
      <c r="F17" s="3"/>
      <c r="G17" s="16"/>
      <c r="H17" s="3"/>
      <c r="I17" s="3"/>
    </row>
    <row r="18" spans="1:9" x14ac:dyDescent="0.25">
      <c r="A18" s="42" t="s">
        <v>4</v>
      </c>
      <c r="B18" s="43">
        <v>20</v>
      </c>
      <c r="C18" s="29" t="s">
        <v>6</v>
      </c>
      <c r="D18" s="29"/>
      <c r="E18" s="29"/>
      <c r="F18" s="3"/>
      <c r="G18" s="16"/>
      <c r="H18" s="3"/>
      <c r="I18" s="3"/>
    </row>
    <row r="19" spans="1:9" x14ac:dyDescent="0.25">
      <c r="A19" s="42" t="s">
        <v>84</v>
      </c>
      <c r="B19" s="35">
        <f>B18+2</f>
        <v>22</v>
      </c>
      <c r="C19" s="29" t="s">
        <v>6</v>
      </c>
      <c r="D19" s="29"/>
      <c r="E19" s="29"/>
      <c r="F19" s="3"/>
      <c r="G19" s="16"/>
      <c r="H19" s="3"/>
      <c r="I19" s="3"/>
    </row>
    <row r="20" spans="1:9" x14ac:dyDescent="0.25">
      <c r="A20" s="42" t="s">
        <v>3</v>
      </c>
      <c r="B20" s="43">
        <v>80</v>
      </c>
      <c r="C20" s="29" t="s">
        <v>6</v>
      </c>
      <c r="D20" s="29" t="s">
        <v>7</v>
      </c>
      <c r="E20" s="35">
        <f>B18*3</f>
        <v>60</v>
      </c>
      <c r="F20" s="15" t="s">
        <v>10</v>
      </c>
      <c r="G20" s="26" t="str">
        <f>IF(B20&gt;=E20, "Good", "Not Good")</f>
        <v>Good</v>
      </c>
      <c r="H20" s="3"/>
      <c r="I20" s="3"/>
    </row>
    <row r="21" spans="1:9" x14ac:dyDescent="0.25">
      <c r="A21" s="44" t="s">
        <v>69</v>
      </c>
      <c r="B21" s="43">
        <v>70</v>
      </c>
      <c r="C21" s="29" t="s">
        <v>6</v>
      </c>
      <c r="D21" s="29" t="s">
        <v>7</v>
      </c>
      <c r="E21" s="35">
        <f>B18*3</f>
        <v>60</v>
      </c>
      <c r="F21" s="15" t="s">
        <v>10</v>
      </c>
      <c r="G21" s="26" t="str">
        <f t="shared" ref="G21:G24" si="0">IF(B21&gt;=E21, "Good", "Not Good")</f>
        <v>Good</v>
      </c>
      <c r="H21" s="3"/>
      <c r="I21" s="3"/>
    </row>
    <row r="22" spans="1:9" x14ac:dyDescent="0.25">
      <c r="A22" s="42" t="s">
        <v>70</v>
      </c>
      <c r="B22" s="43">
        <v>90</v>
      </c>
      <c r="C22" s="29" t="s">
        <v>6</v>
      </c>
      <c r="D22" s="29" t="s">
        <v>7</v>
      </c>
      <c r="E22" s="35">
        <f>B18*4</f>
        <v>80</v>
      </c>
      <c r="F22" s="15" t="s">
        <v>10</v>
      </c>
      <c r="G22" s="26" t="str">
        <f t="shared" si="0"/>
        <v>Good</v>
      </c>
      <c r="H22" s="3"/>
      <c r="I22" s="3"/>
    </row>
    <row r="23" spans="1:9" x14ac:dyDescent="0.25">
      <c r="A23" s="42" t="s">
        <v>71</v>
      </c>
      <c r="B23" s="43">
        <v>35</v>
      </c>
      <c r="C23" s="29" t="s">
        <v>6</v>
      </c>
      <c r="D23" s="29" t="s">
        <v>7</v>
      </c>
      <c r="E23" s="35">
        <f>B18*1.5</f>
        <v>30</v>
      </c>
      <c r="F23" s="15" t="s">
        <v>10</v>
      </c>
      <c r="G23" s="26" t="str">
        <f t="shared" si="0"/>
        <v>Good</v>
      </c>
      <c r="H23" s="3"/>
      <c r="I23" s="3"/>
    </row>
    <row r="24" spans="1:9" ht="15.75" thickBot="1" x14ac:dyDescent="0.3">
      <c r="A24" s="45" t="s">
        <v>5</v>
      </c>
      <c r="B24" s="43">
        <v>85</v>
      </c>
      <c r="C24" s="36" t="s">
        <v>6</v>
      </c>
      <c r="D24" s="36" t="s">
        <v>7</v>
      </c>
      <c r="E24" s="35">
        <f>B18*4</f>
        <v>80</v>
      </c>
      <c r="F24" s="17" t="s">
        <v>10</v>
      </c>
      <c r="G24" s="26" t="str">
        <f t="shared" si="0"/>
        <v>Good</v>
      </c>
      <c r="H24" s="3"/>
      <c r="I24" s="3"/>
    </row>
    <row r="25" spans="1:9" ht="15.75" thickBot="1" x14ac:dyDescent="0.3">
      <c r="A25" s="38"/>
      <c r="B25" s="38"/>
      <c r="C25" s="38"/>
      <c r="D25" s="38"/>
      <c r="E25" s="38"/>
      <c r="H25" s="3"/>
      <c r="I25" s="3"/>
    </row>
    <row r="26" spans="1:9" x14ac:dyDescent="0.25">
      <c r="A26" s="39" t="s">
        <v>78</v>
      </c>
      <c r="B26" s="28"/>
      <c r="C26" s="29"/>
      <c r="D26" s="32" t="s">
        <v>23</v>
      </c>
      <c r="E26" s="46">
        <v>6</v>
      </c>
      <c r="F26" s="3" t="s">
        <v>6</v>
      </c>
      <c r="H26" s="3"/>
      <c r="I26" s="3"/>
    </row>
    <row r="27" spans="1:9" x14ac:dyDescent="0.25">
      <c r="A27" s="47"/>
      <c r="B27" s="57"/>
      <c r="C27" s="29"/>
      <c r="D27" s="32" t="s">
        <v>24</v>
      </c>
      <c r="E27" s="46">
        <v>84</v>
      </c>
      <c r="F27" s="3" t="s">
        <v>6</v>
      </c>
    </row>
    <row r="28" spans="1:9" x14ac:dyDescent="0.25">
      <c r="A28" s="49" t="s">
        <v>11</v>
      </c>
      <c r="B28" s="31"/>
      <c r="C28" s="29"/>
      <c r="D28" s="32" t="s">
        <v>72</v>
      </c>
      <c r="E28" s="46" t="s">
        <v>26</v>
      </c>
      <c r="F28" s="77">
        <f>IF(E28="Long Term", 0.65, (IF(E28="Standard", 1, (IF(E28="Short Term", 1.15, INVALID)))))</f>
        <v>1</v>
      </c>
      <c r="G28" s="3"/>
      <c r="H28" s="3"/>
      <c r="I28" s="3"/>
    </row>
    <row r="29" spans="1:9" ht="26.25" x14ac:dyDescent="0.25">
      <c r="A29" s="50" t="s">
        <v>20</v>
      </c>
      <c r="B29" s="79">
        <v>0.67</v>
      </c>
      <c r="C29" s="29"/>
      <c r="D29" s="32" t="s">
        <v>73</v>
      </c>
      <c r="E29" s="46" t="s">
        <v>34</v>
      </c>
      <c r="F29" s="77">
        <f>IF(E29="Seasoned Dry",1,(IF(E29="Seasoned Wet",0.67,(IF(E29="Unseasoned Dry",0.4,(IF(E29="Unseasoned Wet",0.27,)))))))</f>
        <v>1</v>
      </c>
      <c r="H29" s="3"/>
      <c r="I29" s="3"/>
    </row>
    <row r="30" spans="1:9" ht="26.25" x14ac:dyDescent="0.25">
      <c r="A30" s="50" t="s">
        <v>12</v>
      </c>
      <c r="B30" s="79">
        <v>0.8</v>
      </c>
      <c r="C30" s="29"/>
      <c r="D30" s="32" t="s">
        <v>74</v>
      </c>
      <c r="E30" s="46" t="s">
        <v>32</v>
      </c>
      <c r="F30" s="77">
        <f xml:space="preserve"> IF(E30 ="Wet and Treatment Incised",0.85, (IF(E30 ="Dry and Treatment Incised", 0.75, 1)))</f>
        <v>1</v>
      </c>
      <c r="G30" s="3"/>
      <c r="H30" s="3"/>
      <c r="I30" s="3"/>
    </row>
    <row r="31" spans="1:9" x14ac:dyDescent="0.25">
      <c r="A31" s="52" t="s">
        <v>66</v>
      </c>
      <c r="B31" s="79">
        <v>2</v>
      </c>
      <c r="C31" s="29"/>
      <c r="D31" s="32" t="s">
        <v>75</v>
      </c>
      <c r="E31" s="53" t="s">
        <v>55</v>
      </c>
      <c r="F31" s="78">
        <v>1.1000000000000001</v>
      </c>
      <c r="G31" s="3"/>
      <c r="H31" s="3"/>
      <c r="I31" s="3"/>
    </row>
    <row r="32" spans="1:9" ht="15.75" thickBot="1" x14ac:dyDescent="0.3">
      <c r="A32" s="54" t="s">
        <v>67</v>
      </c>
      <c r="B32" s="55">
        <v>2</v>
      </c>
      <c r="C32" s="29"/>
      <c r="D32" s="32" t="s">
        <v>56</v>
      </c>
      <c r="E32" s="53" t="s">
        <v>57</v>
      </c>
      <c r="F32" s="77">
        <v>1</v>
      </c>
      <c r="G32" s="3"/>
      <c r="H32" s="3"/>
      <c r="I32" s="3"/>
    </row>
    <row r="33" spans="1:9" ht="15.75" thickBot="1" x14ac:dyDescent="0.3">
      <c r="B33" s="48"/>
      <c r="C33" s="29"/>
      <c r="D33" s="32" t="s">
        <v>58</v>
      </c>
      <c r="E33" s="53" t="s">
        <v>60</v>
      </c>
      <c r="F33" s="77">
        <v>1</v>
      </c>
      <c r="H33" s="3"/>
      <c r="I33" s="3"/>
    </row>
    <row r="34" spans="1:9" x14ac:dyDescent="0.25">
      <c r="A34" s="27" t="s">
        <v>21</v>
      </c>
      <c r="B34" s="56">
        <f xml:space="preserve"> (3)*(C11)*(B29/B30)*F28*F29*F30</f>
        <v>1005</v>
      </c>
      <c r="C34" s="28" t="s">
        <v>19</v>
      </c>
      <c r="D34" s="38"/>
      <c r="E34" s="38"/>
    </row>
    <row r="35" spans="1:9" x14ac:dyDescent="0.25">
      <c r="A35" s="33" t="s">
        <v>22</v>
      </c>
      <c r="B35" s="56">
        <f xml:space="preserve"> 22*D10*(1-(0.01*B18))*F28*F29*F30</f>
        <v>8.6240000000000006</v>
      </c>
      <c r="C35" s="31" t="s">
        <v>19</v>
      </c>
      <c r="D35" s="38"/>
      <c r="E35" s="38"/>
      <c r="G35" s="3"/>
    </row>
    <row r="36" spans="1:9" x14ac:dyDescent="0.25">
      <c r="A36" s="33" t="s">
        <v>15</v>
      </c>
      <c r="B36" s="56">
        <f xml:space="preserve"> (B34*B18*E26)/1000</f>
        <v>120.6</v>
      </c>
      <c r="C36" s="31" t="s">
        <v>40</v>
      </c>
      <c r="D36" s="29"/>
      <c r="E36" s="29"/>
      <c r="G36" s="3"/>
    </row>
    <row r="37" spans="1:9" x14ac:dyDescent="0.25">
      <c r="A37" s="33" t="s">
        <v>41</v>
      </c>
      <c r="B37" s="56">
        <f xml:space="preserve"> (0.5*B35*B18*E27)/1000</f>
        <v>7.2441600000000008</v>
      </c>
      <c r="C37" s="31" t="s">
        <v>40</v>
      </c>
      <c r="D37" s="29"/>
      <c r="E37" s="29"/>
      <c r="G37" s="3"/>
    </row>
    <row r="38" spans="1:9" x14ac:dyDescent="0.25">
      <c r="A38" s="33" t="s">
        <v>42</v>
      </c>
      <c r="B38" s="56">
        <f>(B34*((B18)^2))*(((SQRT((1/6)*(B35/(B34+B35))*(C12/B34))))+((1/5)*(E26/B18)))/1000</f>
        <v>32.527447718930837</v>
      </c>
      <c r="C38" s="31" t="s">
        <v>40</v>
      </c>
      <c r="D38" s="29"/>
      <c r="E38" s="29"/>
    </row>
    <row r="39" spans="1:9" x14ac:dyDescent="0.25">
      <c r="A39" s="33" t="s">
        <v>44</v>
      </c>
      <c r="B39" s="56">
        <f>(B34*(B18^2))*(SQRT((2/3)*(B35/(B34+B35))*(C12/B34)))/1000</f>
        <v>16.814895437861672</v>
      </c>
      <c r="C39" s="31" t="s">
        <v>40</v>
      </c>
      <c r="D39" s="29"/>
      <c r="E39" s="29"/>
    </row>
    <row r="40" spans="1:9" x14ac:dyDescent="0.25">
      <c r="A40" s="73" t="s">
        <v>14</v>
      </c>
      <c r="B40" s="56">
        <f>MIN(B36:B39)</f>
        <v>7.2441600000000008</v>
      </c>
      <c r="C40" s="31" t="s">
        <v>40</v>
      </c>
      <c r="D40" s="29"/>
      <c r="E40" s="29"/>
    </row>
    <row r="41" spans="1:9" x14ac:dyDescent="0.25">
      <c r="A41" s="47"/>
      <c r="B41" s="48"/>
      <c r="C41" s="57"/>
      <c r="D41" s="29"/>
      <c r="E41" s="29"/>
    </row>
    <row r="42" spans="1:9" ht="15.75" thickBot="1" x14ac:dyDescent="0.3">
      <c r="A42" s="34" t="s">
        <v>50</v>
      </c>
      <c r="B42" s="56">
        <f>B30*B31*B32*B40</f>
        <v>23.181312000000005</v>
      </c>
      <c r="C42" s="37" t="s">
        <v>40</v>
      </c>
      <c r="D42" s="29"/>
      <c r="E42" s="29"/>
      <c r="H42" s="3"/>
      <c r="I42" s="3"/>
    </row>
    <row r="43" spans="1:9" x14ac:dyDescent="0.25">
      <c r="D43" s="29"/>
      <c r="E43" s="29"/>
      <c r="H43" s="3"/>
      <c r="I43" s="3"/>
    </row>
    <row r="44" spans="1:9" ht="15.75" thickBot="1" x14ac:dyDescent="0.3">
      <c r="A44" s="29"/>
      <c r="B44" s="29"/>
      <c r="C44" s="29"/>
      <c r="D44" s="29"/>
      <c r="E44" s="29"/>
      <c r="H44" s="3"/>
      <c r="I44" s="3"/>
    </row>
    <row r="45" spans="1:9" x14ac:dyDescent="0.25">
      <c r="A45" s="39" t="s">
        <v>79</v>
      </c>
      <c r="B45" s="40"/>
      <c r="C45" s="28"/>
      <c r="D45" s="29"/>
      <c r="E45" s="29"/>
      <c r="H45" s="3"/>
      <c r="I45" s="3"/>
    </row>
    <row r="46" spans="1:9" x14ac:dyDescent="0.25">
      <c r="A46" s="30"/>
      <c r="B46" s="29"/>
      <c r="C46" s="31"/>
      <c r="D46" s="29"/>
      <c r="E46" s="29"/>
      <c r="F46" s="3"/>
      <c r="G46" s="3"/>
      <c r="H46" s="3"/>
      <c r="I46" s="3"/>
    </row>
    <row r="47" spans="1:9" x14ac:dyDescent="0.25">
      <c r="A47" s="58" t="s">
        <v>49</v>
      </c>
      <c r="B47" s="29"/>
      <c r="C47" s="31"/>
      <c r="D47" s="29"/>
      <c r="E47" s="29"/>
      <c r="F47" s="3"/>
      <c r="G47" s="3"/>
      <c r="H47" s="3"/>
      <c r="I47" s="3"/>
    </row>
    <row r="48" spans="1:9" x14ac:dyDescent="0.25">
      <c r="A48" s="33" t="s">
        <v>45</v>
      </c>
      <c r="B48" s="51">
        <v>0.7</v>
      </c>
      <c r="C48" s="31"/>
      <c r="D48" s="29"/>
      <c r="E48" s="29"/>
      <c r="F48" s="3"/>
      <c r="G48" s="3"/>
    </row>
    <row r="49" spans="1:9" x14ac:dyDescent="0.25">
      <c r="A49" s="33" t="s">
        <v>46</v>
      </c>
      <c r="B49" s="76">
        <f>(14*(E27)*(SQRT((C7-B23)/(1-((C7-B23)/C7))))/1000)</f>
        <v>43.094537936959021</v>
      </c>
      <c r="C49" s="31" t="s">
        <v>40</v>
      </c>
      <c r="D49" s="29"/>
      <c r="E49" s="29"/>
      <c r="F49" s="3"/>
      <c r="G49" s="3"/>
      <c r="H49" s="3"/>
      <c r="I49" s="3"/>
    </row>
    <row r="50" spans="1:9" x14ac:dyDescent="0.25">
      <c r="A50" s="30"/>
      <c r="B50" s="29"/>
      <c r="C50" s="31"/>
      <c r="D50" s="38"/>
      <c r="E50" s="38"/>
      <c r="F50" s="3"/>
      <c r="G50" s="3"/>
      <c r="H50" s="3"/>
      <c r="I50" s="3"/>
    </row>
    <row r="51" spans="1:9" ht="15.75" thickBot="1" x14ac:dyDescent="0.3">
      <c r="A51" s="34" t="s">
        <v>61</v>
      </c>
      <c r="B51" s="56">
        <f>B48*B49*F28*F29*F30</f>
        <v>30.166176555871314</v>
      </c>
      <c r="C51" s="37" t="s">
        <v>40</v>
      </c>
      <c r="D51" s="29"/>
      <c r="E51" s="29"/>
      <c r="F51" s="3"/>
      <c r="G51" s="3"/>
      <c r="H51" s="3"/>
      <c r="I51" s="3"/>
    </row>
    <row r="52" spans="1:9" x14ac:dyDescent="0.25">
      <c r="A52" s="38"/>
      <c r="B52" s="38"/>
      <c r="C52" s="38"/>
      <c r="D52" s="29"/>
      <c r="E52" s="29"/>
      <c r="H52" s="3"/>
      <c r="I52" s="3"/>
    </row>
    <row r="53" spans="1:9" ht="15.75" thickBot="1" x14ac:dyDescent="0.3">
      <c r="A53" s="38"/>
      <c r="B53" s="38"/>
      <c r="C53" s="38"/>
      <c r="D53" s="29"/>
      <c r="E53" s="29"/>
      <c r="F53" s="3"/>
      <c r="G53" s="3"/>
      <c r="H53" s="3"/>
      <c r="I53" s="3"/>
    </row>
    <row r="54" spans="1:9" x14ac:dyDescent="0.25">
      <c r="A54" s="39" t="s">
        <v>80</v>
      </c>
      <c r="B54" s="40"/>
      <c r="C54" s="28"/>
      <c r="D54" s="29"/>
      <c r="E54" s="29"/>
      <c r="F54" s="3"/>
      <c r="G54" s="3"/>
      <c r="H54" s="3"/>
      <c r="I54" s="3"/>
    </row>
    <row r="55" spans="1:9" x14ac:dyDescent="0.25">
      <c r="A55" s="30"/>
      <c r="B55" s="29"/>
      <c r="C55" s="31"/>
      <c r="D55" s="29"/>
      <c r="E55" s="29"/>
      <c r="F55" s="3"/>
      <c r="G55" s="3"/>
      <c r="H55" s="3"/>
      <c r="I55" s="3"/>
    </row>
    <row r="56" spans="1:9" x14ac:dyDescent="0.25">
      <c r="A56" s="30"/>
      <c r="B56" s="29"/>
      <c r="C56" s="31"/>
      <c r="D56" s="29"/>
      <c r="E56" s="29"/>
      <c r="F56" s="3"/>
      <c r="G56" s="3"/>
      <c r="H56" s="3"/>
      <c r="I56" s="3"/>
    </row>
    <row r="57" spans="1:9" x14ac:dyDescent="0.25">
      <c r="A57" s="30"/>
      <c r="B57" s="29"/>
      <c r="C57" s="31"/>
      <c r="D57" s="29"/>
      <c r="E57" s="29"/>
      <c r="F57" s="3"/>
      <c r="G57" s="3"/>
      <c r="H57" s="3"/>
      <c r="I57" s="3"/>
    </row>
    <row r="58" spans="1:9" x14ac:dyDescent="0.25">
      <c r="A58" s="59" t="s">
        <v>59</v>
      </c>
      <c r="B58" s="51">
        <v>0.9</v>
      </c>
      <c r="C58" s="31"/>
      <c r="D58" s="29"/>
      <c r="E58" s="29"/>
      <c r="F58" s="3"/>
      <c r="G58" s="3"/>
    </row>
    <row r="59" spans="1:9" x14ac:dyDescent="0.25">
      <c r="A59" s="33" t="s">
        <v>65</v>
      </c>
      <c r="B59" s="81">
        <f>C13*F28*F31*F32*F30</f>
        <v>2.09</v>
      </c>
      <c r="C59" s="31" t="s">
        <v>40</v>
      </c>
      <c r="D59" s="29"/>
      <c r="E59" s="29"/>
      <c r="F59" s="3"/>
      <c r="G59" s="3"/>
      <c r="H59" s="3"/>
      <c r="I59" s="3"/>
    </row>
    <row r="60" spans="1:9" x14ac:dyDescent="0.25">
      <c r="A60" s="30"/>
      <c r="B60" s="29"/>
      <c r="C60" s="31"/>
      <c r="D60" s="38"/>
      <c r="E60" s="38"/>
      <c r="F60" s="3"/>
      <c r="G60" s="3"/>
      <c r="H60" s="3"/>
      <c r="I60" s="3"/>
    </row>
    <row r="61" spans="1:9" ht="15.75" thickBot="1" x14ac:dyDescent="0.3">
      <c r="A61" s="34" t="s">
        <v>52</v>
      </c>
      <c r="B61" s="80">
        <f>(((2*C9)/3)*B58*B59*F33)/1000</f>
        <v>20.119176</v>
      </c>
      <c r="C61" s="37" t="s">
        <v>40</v>
      </c>
      <c r="D61" s="29"/>
      <c r="E61" s="29"/>
      <c r="F61" s="3"/>
      <c r="G61" s="3"/>
      <c r="H61" s="3"/>
      <c r="I61" s="3"/>
    </row>
    <row r="62" spans="1:9" x14ac:dyDescent="0.25">
      <c r="A62" s="38"/>
      <c r="B62" s="38"/>
      <c r="C62" s="38"/>
      <c r="D62" s="29"/>
      <c r="E62" s="29"/>
      <c r="H62" s="3"/>
      <c r="I62" s="3"/>
    </row>
    <row r="63" spans="1:9" ht="15.75" x14ac:dyDescent="0.25">
      <c r="A63" s="13" t="s">
        <v>81</v>
      </c>
      <c r="B63" s="11"/>
      <c r="C63" s="11"/>
      <c r="D63" s="11"/>
      <c r="E63" s="38"/>
      <c r="F63" s="3"/>
      <c r="G63" s="3"/>
      <c r="H63" s="3"/>
      <c r="I63" s="3"/>
    </row>
    <row r="64" spans="1:9" ht="15.75" x14ac:dyDescent="0.25">
      <c r="A64" s="12" t="s">
        <v>63</v>
      </c>
      <c r="B64" s="11"/>
      <c r="C64" s="11"/>
      <c r="D64" s="11"/>
      <c r="E64" s="38"/>
      <c r="F64" s="3"/>
      <c r="G64" s="3"/>
      <c r="H64" s="3"/>
      <c r="I64" s="3"/>
    </row>
    <row r="65" spans="1:9" ht="15.75" x14ac:dyDescent="0.25">
      <c r="A65" s="11"/>
      <c r="B65" s="12" t="s">
        <v>51</v>
      </c>
      <c r="C65" s="11"/>
      <c r="D65" s="11"/>
      <c r="E65" s="38"/>
      <c r="F65" s="3"/>
      <c r="G65" s="3"/>
      <c r="H65" s="3"/>
      <c r="I65" s="3"/>
    </row>
    <row r="66" spans="1:9" x14ac:dyDescent="0.25">
      <c r="F66" s="3"/>
      <c r="G66" s="3"/>
      <c r="H66" s="3"/>
      <c r="I66" s="3"/>
    </row>
    <row r="67" spans="1:9" x14ac:dyDescent="0.25"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71" spans="1:9" x14ac:dyDescent="0.25">
      <c r="F71" s="10"/>
      <c r="G71" s="10"/>
    </row>
    <row r="72" spans="1:9" x14ac:dyDescent="0.25">
      <c r="F72" s="10"/>
      <c r="G72" s="10"/>
    </row>
  </sheetData>
  <conditionalFormatting sqref="G20:G24">
    <cfRule type="cellIs" dxfId="6" priority="4" operator="equal">
      <formula>"Good"</formula>
    </cfRule>
    <cfRule type="cellIs" dxfId="5" priority="5" operator="equal">
      <formula>"GOOD"</formula>
    </cfRule>
    <cfRule type="cellIs" dxfId="4" priority="6" operator="equal">
      <formula>"NOT GOOD"</formula>
    </cfRule>
    <cfRule type="cellIs" dxfId="3" priority="7" operator="equal">
      <formula>"GOOD"</formula>
    </cfRule>
  </conditionalFormatting>
  <conditionalFormatting sqref="C15">
    <cfRule type="cellIs" dxfId="2" priority="1" operator="equal">
      <formula>"OK"</formula>
    </cfRule>
    <cfRule type="cellIs" dxfId="1" priority="2" operator="equal">
      <formula xml:space="preserve"> Good</formula>
    </cfRule>
    <cfRule type="cellIs" dxfId="0" priority="3" operator="equal">
      <formula>"Good"</formula>
    </cfRule>
  </conditionalFormatting>
  <dataValidations count="3">
    <dataValidation type="list" showInputMessage="1" showErrorMessage="1" sqref="E28">
      <formula1>Kd</formula1>
    </dataValidation>
    <dataValidation type="list" allowBlank="1" showInputMessage="1" showErrorMessage="1" sqref="E30">
      <formula1>Kt</formula1>
    </dataValidation>
    <dataValidation type="list" allowBlank="1" showInputMessage="1" showErrorMessage="1" sqref="E29">
      <formula1>Ksf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workbookViewId="0">
      <selection activeCell="G18" sqref="G18"/>
    </sheetView>
  </sheetViews>
  <sheetFormatPr defaultRowHeight="15" x14ac:dyDescent="0.25"/>
  <sheetData>
    <row r="2" spans="1:4" x14ac:dyDescent="0.25">
      <c r="A2" s="10" t="s">
        <v>76</v>
      </c>
    </row>
    <row r="4" spans="1:4" x14ac:dyDescent="0.25">
      <c r="A4" s="25" t="s">
        <v>28</v>
      </c>
      <c r="B4" s="25"/>
      <c r="C4" s="1"/>
    </row>
    <row r="5" spans="1:4" x14ac:dyDescent="0.25">
      <c r="A5" s="60" t="s">
        <v>25</v>
      </c>
      <c r="B5" s="61"/>
      <c r="C5" s="62">
        <v>0.65</v>
      </c>
    </row>
    <row r="6" spans="1:4" x14ac:dyDescent="0.25">
      <c r="A6" s="63" t="s">
        <v>26</v>
      </c>
      <c r="B6" s="25"/>
      <c r="C6" s="64">
        <v>1</v>
      </c>
    </row>
    <row r="7" spans="1:4" x14ac:dyDescent="0.25">
      <c r="A7" s="65" t="s">
        <v>27</v>
      </c>
      <c r="B7" s="2"/>
      <c r="C7" s="66">
        <v>1.1499999999999999</v>
      </c>
    </row>
    <row r="9" spans="1:4" x14ac:dyDescent="0.25">
      <c r="A9" s="10" t="s">
        <v>38</v>
      </c>
    </row>
    <row r="10" spans="1:4" x14ac:dyDescent="0.25">
      <c r="A10" s="70" t="s">
        <v>29</v>
      </c>
      <c r="B10" s="67"/>
      <c r="C10" s="61"/>
      <c r="D10" s="62"/>
    </row>
    <row r="11" spans="1:4" x14ac:dyDescent="0.25">
      <c r="A11" s="68" t="s">
        <v>32</v>
      </c>
      <c r="B11" s="25"/>
      <c r="C11" s="25"/>
      <c r="D11" s="64">
        <v>1</v>
      </c>
    </row>
    <row r="12" spans="1:4" x14ac:dyDescent="0.25">
      <c r="A12" s="68" t="s">
        <v>33</v>
      </c>
      <c r="B12" s="25"/>
      <c r="C12" s="25"/>
      <c r="D12" s="64">
        <v>1</v>
      </c>
    </row>
    <row r="13" spans="1:4" x14ac:dyDescent="0.25">
      <c r="A13" s="68" t="s">
        <v>30</v>
      </c>
      <c r="B13" s="25"/>
      <c r="C13" s="25"/>
      <c r="D13" s="64">
        <v>0.85</v>
      </c>
    </row>
    <row r="14" spans="1:4" x14ac:dyDescent="0.25">
      <c r="A14" s="69" t="s">
        <v>31</v>
      </c>
      <c r="B14" s="2"/>
      <c r="C14" s="2"/>
      <c r="D14" s="66">
        <v>0.75</v>
      </c>
    </row>
    <row r="16" spans="1:4" x14ac:dyDescent="0.25">
      <c r="A16" s="10" t="s">
        <v>39</v>
      </c>
    </row>
    <row r="17" spans="1:3" x14ac:dyDescent="0.25">
      <c r="A17" s="71" t="s">
        <v>34</v>
      </c>
      <c r="B17" s="61"/>
      <c r="C17" s="62">
        <v>1</v>
      </c>
    </row>
    <row r="18" spans="1:3" x14ac:dyDescent="0.25">
      <c r="A18" s="68" t="s">
        <v>35</v>
      </c>
      <c r="B18" s="25"/>
      <c r="C18" s="64">
        <v>0.67</v>
      </c>
    </row>
    <row r="19" spans="1:3" x14ac:dyDescent="0.25">
      <c r="A19" s="68" t="s">
        <v>36</v>
      </c>
      <c r="B19" s="25"/>
      <c r="C19" s="72">
        <v>0.4</v>
      </c>
    </row>
    <row r="20" spans="1:3" x14ac:dyDescent="0.25">
      <c r="A20" s="69" t="s">
        <v>37</v>
      </c>
      <c r="B20" s="2"/>
      <c r="C20" s="66">
        <v>0.27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Kd</vt:lpstr>
      <vt:lpstr>Ksf</vt:lpstr>
      <vt:lpstr>Kt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2014-04-25T15:17:16Z</dcterms:modified>
</cp:coreProperties>
</file>