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3256" windowHeight="12924"/>
  </bookViews>
  <sheets>
    <sheet name="Sheet1" sheetId="1" r:id="rId1"/>
    <sheet name="Sheet2" sheetId="2" r:id="rId2"/>
  </sheets>
  <definedNames>
    <definedName name="beam">Sheet2!$A$65:$A$66</definedName>
    <definedName name="Bending">Sheet2!$A$54:$A$58</definedName>
    <definedName name="CC">Sheet2!$A$68:$A$71</definedName>
    <definedName name="Grade">Sheet2!$A$8:$A$15</definedName>
    <definedName name="Hem">Sheet2!$C$8:$C$9</definedName>
    <definedName name="Ke">Sheet2!$A$45:$A$51</definedName>
    <definedName name="KH">Sheet2!$A$73:$A$74</definedName>
    <definedName name="KS">Sheet2!$A$60:$A$61</definedName>
    <definedName name="Species">Sheet2!$A$3:$A$5</definedName>
    <definedName name="Spruce">Sheet2!$B$8:$B$11</definedName>
    <definedName name="Sprucee">Sheet2!$B$6:$B$11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1" l="1"/>
  <c r="G216" i="1"/>
  <c r="G217" i="1"/>
  <c r="G219" i="1"/>
  <c r="D128" i="1"/>
  <c r="D135" i="1"/>
  <c r="D140" i="1"/>
  <c r="D141" i="1"/>
  <c r="D142" i="1"/>
  <c r="D126" i="1"/>
  <c r="D127" i="1"/>
  <c r="D134" i="1"/>
  <c r="D133" i="1"/>
  <c r="L145" i="1"/>
  <c r="G220" i="1"/>
  <c r="I219" i="1"/>
  <c r="D100" i="1"/>
  <c r="B216" i="1"/>
  <c r="B217" i="1"/>
  <c r="B219" i="1"/>
  <c r="B220" i="1"/>
  <c r="D219" i="1"/>
  <c r="C153" i="1"/>
  <c r="B154" i="1"/>
  <c r="B22" i="1"/>
  <c r="E22" i="1"/>
  <c r="B44" i="1"/>
  <c r="B48" i="1"/>
  <c r="B157" i="1"/>
  <c r="B160" i="1"/>
  <c r="B75" i="1"/>
  <c r="D137" i="1"/>
  <c r="D138" i="1"/>
  <c r="D139" i="1"/>
  <c r="S129" i="1"/>
  <c r="F75" i="1"/>
  <c r="E157" i="1"/>
  <c r="E160" i="1"/>
  <c r="B98" i="1"/>
  <c r="F98" i="1"/>
  <c r="D132" i="1"/>
  <c r="S126" i="1"/>
  <c r="E75" i="1"/>
  <c r="E98" i="1"/>
  <c r="B156" i="1"/>
  <c r="B159" i="1"/>
  <c r="B74" i="1"/>
  <c r="D131" i="1"/>
  <c r="D130" i="1"/>
  <c r="S125" i="1"/>
  <c r="E74" i="1"/>
  <c r="E156" i="1"/>
  <c r="E159" i="1"/>
  <c r="B97" i="1"/>
  <c r="E97" i="1"/>
  <c r="B100" i="1"/>
  <c r="B77" i="1"/>
  <c r="B20" i="1"/>
  <c r="B173" i="1"/>
  <c r="B174" i="1"/>
  <c r="B42" i="1"/>
  <c r="B175" i="1"/>
  <c r="B176" i="1"/>
  <c r="B178" i="1"/>
  <c r="C77" i="1"/>
  <c r="D34" i="1"/>
  <c r="D35" i="1"/>
  <c r="B51" i="1"/>
  <c r="D27" i="1"/>
  <c r="E171" i="1"/>
  <c r="E172" i="1"/>
  <c r="E182" i="1"/>
  <c r="B19" i="1"/>
  <c r="E174" i="1"/>
  <c r="E175" i="1"/>
  <c r="E176" i="1"/>
  <c r="E178" i="1"/>
  <c r="E183" i="1"/>
  <c r="E184" i="1"/>
  <c r="B65" i="1"/>
  <c r="D143" i="1"/>
  <c r="U93" i="1"/>
  <c r="J143" i="1"/>
  <c r="G221" i="1"/>
  <c r="H221" i="1"/>
  <c r="B109" i="1"/>
  <c r="B34" i="1"/>
  <c r="B35" i="1"/>
  <c r="B27" i="1"/>
  <c r="B171" i="1"/>
  <c r="B172" i="1"/>
  <c r="B182" i="1"/>
  <c r="B183" i="1"/>
  <c r="B184" i="1"/>
  <c r="B221" i="1"/>
  <c r="C221" i="1"/>
  <c r="B86" i="1"/>
  <c r="L142" i="1"/>
  <c r="L141" i="1"/>
  <c r="L140" i="1"/>
  <c r="L135" i="1"/>
  <c r="L134" i="1"/>
  <c r="L133" i="1"/>
  <c r="L128" i="1"/>
  <c r="L127" i="1"/>
  <c r="L126" i="1"/>
  <c r="B196" i="1"/>
  <c r="B197" i="1"/>
  <c r="B195" i="1"/>
  <c r="D123" i="1"/>
  <c r="D124" i="1"/>
  <c r="B194" i="1"/>
  <c r="D125" i="1"/>
  <c r="B193" i="1"/>
  <c r="D129" i="1"/>
  <c r="U79" i="1"/>
  <c r="J129" i="1"/>
  <c r="D37" i="1"/>
  <c r="F204" i="1"/>
  <c r="B14" i="1"/>
  <c r="F190" i="1"/>
  <c r="F208" i="1"/>
  <c r="E155" i="1"/>
  <c r="E158" i="1"/>
  <c r="G218" i="1"/>
  <c r="S124" i="1"/>
  <c r="S123" i="1"/>
  <c r="S122" i="1"/>
  <c r="D98" i="1"/>
  <c r="S121" i="1"/>
  <c r="D97" i="1"/>
  <c r="D122" i="1"/>
  <c r="B162" i="1"/>
  <c r="F158" i="1"/>
  <c r="D96" i="1"/>
  <c r="B37" i="1"/>
  <c r="B155" i="1"/>
  <c r="B158" i="1"/>
  <c r="C158" i="1"/>
  <c r="G208" i="1"/>
  <c r="B106" i="1"/>
  <c r="S130" i="1"/>
  <c r="S127" i="1"/>
  <c r="S128" i="1"/>
  <c r="S120" i="1"/>
  <c r="B43" i="1"/>
  <c r="B228" i="1"/>
  <c r="B204" i="1"/>
  <c r="B190" i="1"/>
  <c r="D136" i="1"/>
  <c r="U86" i="1"/>
  <c r="U85" i="1"/>
  <c r="J136" i="1"/>
  <c r="B209" i="1"/>
  <c r="E170" i="1"/>
  <c r="F153" i="1"/>
  <c r="E154" i="1"/>
  <c r="U56" i="1"/>
  <c r="U57" i="1"/>
  <c r="U55" i="1"/>
  <c r="G237" i="1"/>
  <c r="G236" i="1"/>
  <c r="G238" i="1"/>
  <c r="B115" i="1"/>
  <c r="G227" i="1"/>
  <c r="G228" i="1"/>
  <c r="G229" i="1"/>
  <c r="S79" i="1"/>
  <c r="S78" i="1"/>
  <c r="G129" i="1"/>
  <c r="S86" i="1"/>
  <c r="S85" i="1"/>
  <c r="G136" i="1"/>
  <c r="S93" i="1"/>
  <c r="S92" i="1"/>
  <c r="G143" i="1"/>
  <c r="G230" i="1"/>
  <c r="G231" i="1"/>
  <c r="B112" i="1"/>
  <c r="U92" i="1"/>
  <c r="F210" i="1"/>
  <c r="G210" i="1"/>
  <c r="B108" i="1"/>
  <c r="F209" i="1"/>
  <c r="G209" i="1"/>
  <c r="B107" i="1"/>
  <c r="U78" i="1"/>
  <c r="E185" i="1"/>
  <c r="F184" i="1"/>
  <c r="D103" i="1"/>
  <c r="B103" i="1"/>
  <c r="D145" i="1"/>
  <c r="D144" i="1"/>
  <c r="B164" i="1"/>
  <c r="F160" i="1"/>
  <c r="B163" i="1"/>
  <c r="F159" i="1"/>
  <c r="B96" i="1"/>
  <c r="S56" i="1"/>
  <c r="S57" i="1"/>
  <c r="S55" i="1"/>
  <c r="B237" i="1"/>
  <c r="B236" i="1"/>
  <c r="B238" i="1"/>
  <c r="B92" i="1"/>
  <c r="B227" i="1"/>
  <c r="B229" i="1"/>
  <c r="B230" i="1"/>
  <c r="B231" i="1"/>
  <c r="D89" i="1"/>
  <c r="B89" i="1"/>
  <c r="B218" i="1"/>
  <c r="D77" i="1"/>
  <c r="B170" i="1"/>
  <c r="B205" i="1"/>
  <c r="B210" i="1"/>
  <c r="C210" i="1"/>
  <c r="B85" i="1"/>
  <c r="C209" i="1"/>
  <c r="B84" i="1"/>
  <c r="B208" i="1"/>
  <c r="C208" i="1"/>
  <c r="B83" i="1"/>
  <c r="B185" i="1"/>
  <c r="C184" i="1"/>
  <c r="D80" i="1"/>
  <c r="B80" i="1"/>
  <c r="C160" i="1"/>
  <c r="D75" i="1"/>
  <c r="C159" i="1"/>
  <c r="D74" i="1"/>
  <c r="D73" i="1"/>
  <c r="B73" i="1"/>
  <c r="U58" i="1"/>
  <c r="U52" i="1"/>
  <c r="U51" i="1"/>
  <c r="S58" i="1"/>
  <c r="S52" i="1"/>
  <c r="S51" i="1"/>
  <c r="U95" i="1"/>
  <c r="U88" i="1"/>
  <c r="U94" i="1"/>
  <c r="U87" i="1"/>
  <c r="S95" i="1"/>
  <c r="S88" i="1"/>
  <c r="S94" i="1"/>
  <c r="S87" i="1"/>
  <c r="U81" i="1"/>
  <c r="U80" i="1"/>
  <c r="S81" i="1"/>
  <c r="S80" i="1"/>
  <c r="F205" i="1"/>
  <c r="G205" i="1"/>
  <c r="C205" i="1"/>
  <c r="G204" i="1"/>
  <c r="C204" i="1"/>
  <c r="F203" i="1"/>
  <c r="G203" i="1"/>
  <c r="B203" i="1"/>
  <c r="C203" i="1"/>
  <c r="B192" i="1"/>
  <c r="F202" i="1"/>
  <c r="G202" i="1"/>
  <c r="B202" i="1"/>
  <c r="C202" i="1"/>
  <c r="B15" i="1"/>
  <c r="C174" i="1"/>
  <c r="E177" i="1"/>
  <c r="B177" i="1"/>
  <c r="F174" i="1"/>
  <c r="E173" i="1"/>
  <c r="C154" i="1"/>
  <c r="F154" i="1"/>
  <c r="C22" i="1"/>
  <c r="G32" i="1"/>
  <c r="F22" i="1"/>
  <c r="B47" i="1"/>
  <c r="B45" i="1"/>
  <c r="B28" i="1"/>
  <c r="G28" i="1"/>
  <c r="D28" i="1"/>
</calcChain>
</file>

<file path=xl/sharedStrings.xml><?xml version="1.0" encoding="utf-8"?>
<sst xmlns="http://schemas.openxmlformats.org/spreadsheetml/2006/main" count="533" uniqueCount="283">
  <si>
    <t>Douglas Fir-Larch</t>
  </si>
  <si>
    <t>Hem-Fir and Douglas Fir-Larch</t>
  </si>
  <si>
    <t>24f-E</t>
  </si>
  <si>
    <t>24f-EX</t>
  </si>
  <si>
    <t>20f-E</t>
  </si>
  <si>
    <t>20f-EX</t>
  </si>
  <si>
    <t>18t-E</t>
  </si>
  <si>
    <t>16c-E</t>
  </si>
  <si>
    <t>14t-E</t>
  </si>
  <si>
    <t>12c-E</t>
  </si>
  <si>
    <r>
      <t>Bending moment (neg), f</t>
    </r>
    <r>
      <rPr>
        <vertAlign val="subscript"/>
        <sz val="11"/>
        <color theme="1"/>
        <rFont val="Calibri"/>
        <family val="2"/>
        <scheme val="minor"/>
      </rPr>
      <t>b</t>
    </r>
  </si>
  <si>
    <r>
      <t>Longitudinal shear, f</t>
    </r>
    <r>
      <rPr>
        <vertAlign val="subscript"/>
        <sz val="11"/>
        <color theme="1"/>
        <rFont val="Calibri"/>
        <family val="2"/>
        <scheme val="minor"/>
      </rPr>
      <t>v</t>
    </r>
  </si>
  <si>
    <r>
      <t>Compression parallel combined with bending, f</t>
    </r>
    <r>
      <rPr>
        <vertAlign val="subscript"/>
        <sz val="11"/>
        <color theme="1"/>
        <rFont val="Calibri"/>
        <family val="2"/>
        <scheme val="minor"/>
      </rPr>
      <t>cb</t>
    </r>
  </si>
  <si>
    <r>
      <t>Tension net section, f</t>
    </r>
    <r>
      <rPr>
        <vertAlign val="subscript"/>
        <sz val="11"/>
        <color theme="1"/>
        <rFont val="Calibri"/>
        <family val="2"/>
        <scheme val="minor"/>
      </rPr>
      <t>tn</t>
    </r>
  </si>
  <si>
    <r>
      <t>Tension gross section, f</t>
    </r>
    <r>
      <rPr>
        <vertAlign val="subscript"/>
        <sz val="11"/>
        <color theme="1"/>
        <rFont val="Calibri"/>
        <family val="2"/>
        <scheme val="minor"/>
      </rPr>
      <t>tg</t>
    </r>
  </si>
  <si>
    <r>
      <t>Tension perpendicular to grain, f</t>
    </r>
    <r>
      <rPr>
        <vertAlign val="subscript"/>
        <sz val="11"/>
        <color theme="1"/>
        <rFont val="Calibri"/>
        <family val="2"/>
        <scheme val="minor"/>
      </rPr>
      <t>tp</t>
    </r>
  </si>
  <si>
    <t>Modulus of elasticity, E</t>
  </si>
  <si>
    <r>
      <t>Compression parallel, f</t>
    </r>
    <r>
      <rPr>
        <sz val="11"/>
        <color theme="1"/>
        <rFont val="Calibri"/>
        <family val="2"/>
        <scheme val="minor"/>
      </rPr>
      <t>c</t>
    </r>
  </si>
  <si>
    <r>
      <t>Bending moment (pos.), f</t>
    </r>
    <r>
      <rPr>
        <vertAlign val="subscript"/>
        <sz val="11"/>
        <color theme="1"/>
        <rFont val="Calibri"/>
        <family val="2"/>
        <scheme val="minor"/>
      </rPr>
      <t>b</t>
    </r>
  </si>
  <si>
    <r>
      <t>Compression perpendicular,(compression face b) f</t>
    </r>
    <r>
      <rPr>
        <vertAlign val="subscript"/>
        <sz val="11"/>
        <color theme="1"/>
        <rFont val="Calibri"/>
        <family val="2"/>
        <scheme val="minor"/>
      </rPr>
      <t>cp</t>
    </r>
  </si>
  <si>
    <r>
      <t>Compression perpendicular (tension face b), f</t>
    </r>
    <r>
      <rPr>
        <vertAlign val="subscript"/>
        <sz val="11"/>
        <color theme="1"/>
        <rFont val="Calibri"/>
        <family val="2"/>
        <scheme val="minor"/>
      </rPr>
      <t>cp</t>
    </r>
  </si>
  <si>
    <t xml:space="preserve">               Spruce-Lodgepole Pine-Jack Pine</t>
  </si>
  <si>
    <t xml:space="preserve">Table 6.3: </t>
  </si>
  <si>
    <t xml:space="preserve">Service Conditions (Ks): </t>
  </si>
  <si>
    <t xml:space="preserve">Dry </t>
  </si>
  <si>
    <t xml:space="preserve">Wet </t>
  </si>
  <si>
    <r>
      <t>Modulus of Elasticity, K</t>
    </r>
    <r>
      <rPr>
        <sz val="9"/>
        <color theme="1"/>
        <rFont val="Calibri"/>
        <family val="2"/>
        <scheme val="minor"/>
      </rPr>
      <t>SE</t>
    </r>
  </si>
  <si>
    <r>
      <t>Tension perpendicular to grain, K</t>
    </r>
    <r>
      <rPr>
        <sz val="9"/>
        <color theme="1"/>
        <rFont val="Calibri"/>
        <family val="2"/>
        <scheme val="minor"/>
      </rPr>
      <t>Stp</t>
    </r>
  </si>
  <si>
    <r>
      <t>Bending at extreme fibre, K</t>
    </r>
    <r>
      <rPr>
        <sz val="9"/>
        <color theme="1"/>
        <rFont val="Calibri"/>
        <family val="2"/>
        <scheme val="minor"/>
      </rPr>
      <t>Sb</t>
    </r>
  </si>
  <si>
    <r>
      <t>Longitudinal shear,K</t>
    </r>
    <r>
      <rPr>
        <sz val="9"/>
        <color theme="1"/>
        <rFont val="Calibri"/>
        <family val="2"/>
        <scheme val="minor"/>
      </rPr>
      <t>Sv</t>
    </r>
  </si>
  <si>
    <r>
      <t>Compression parallel to grain, K</t>
    </r>
    <r>
      <rPr>
        <sz val="9"/>
        <color theme="1"/>
        <rFont val="Calibri"/>
        <family val="2"/>
        <scheme val="minor"/>
      </rPr>
      <t>Sc</t>
    </r>
  </si>
  <si>
    <r>
      <t>Compression perpendicular to grain, K</t>
    </r>
    <r>
      <rPr>
        <sz val="9"/>
        <color theme="1"/>
        <rFont val="Calibri"/>
        <family val="2"/>
        <scheme val="minor"/>
      </rPr>
      <t>Scp</t>
    </r>
  </si>
  <si>
    <r>
      <t>Tension parallel to grain, K</t>
    </r>
    <r>
      <rPr>
        <sz val="9"/>
        <color theme="1"/>
        <rFont val="Calibri"/>
        <family val="2"/>
        <scheme val="minor"/>
      </rPr>
      <t>St</t>
    </r>
  </si>
  <si>
    <t>Dry Service Conditions</t>
  </si>
  <si>
    <t>Wet Service Conditions</t>
  </si>
  <si>
    <t>Ke</t>
  </si>
  <si>
    <t>Fixed-Pinned</t>
  </si>
  <si>
    <t>Fixed-Fixed (Restrained)</t>
  </si>
  <si>
    <t>Pinned-Pinned(can rotate)</t>
  </si>
  <si>
    <t>Fixed-roller(can rotate but not held in position)</t>
  </si>
  <si>
    <t>Fixed-can partially rotate on the other end and not held in position</t>
  </si>
  <si>
    <r>
      <rPr>
        <sz val="12"/>
        <color theme="1"/>
        <rFont val="Calibri"/>
        <family val="2"/>
        <scheme val="minor"/>
      </rPr>
      <t>Pin-Free or Fixed -Free</t>
    </r>
    <r>
      <rPr>
        <b/>
        <sz val="12"/>
        <color theme="1"/>
        <rFont val="Calibri"/>
        <family val="2"/>
        <scheme val="minor"/>
      </rPr>
      <t xml:space="preserve"> </t>
    </r>
  </si>
  <si>
    <t>Effective Length Factor, Ke:</t>
  </si>
  <si>
    <t>Effective Length for beams, Le for bending members:</t>
  </si>
  <si>
    <t>No Intermediate Support</t>
  </si>
  <si>
    <t>1.92 lu</t>
  </si>
  <si>
    <t>1.61 lu</t>
  </si>
  <si>
    <t>Concentrated load at centre(Beams)</t>
  </si>
  <si>
    <t>Any Loading/Uniformly distributed Load(Beams)</t>
  </si>
  <si>
    <t>Any Loading(Cantilever)</t>
  </si>
  <si>
    <t xml:space="preserve">Uniformly distributed Load(Cantilever) </t>
  </si>
  <si>
    <t xml:space="preserve">Concentrated load at free end (Cantilevers) </t>
  </si>
  <si>
    <t>1.23 lu</t>
  </si>
  <si>
    <t xml:space="preserve">1.69 lu </t>
  </si>
  <si>
    <t xml:space="preserve">SLENDERNESS RATIO: </t>
  </si>
  <si>
    <t>Ccy=</t>
  </si>
  <si>
    <t>Ccx=</t>
  </si>
  <si>
    <t xml:space="preserve">                         b(mm)=</t>
  </si>
  <si>
    <t>24 f-E</t>
  </si>
  <si>
    <t>fv:</t>
  </si>
  <si>
    <t>fc:</t>
  </si>
  <si>
    <t>fcb:</t>
  </si>
  <si>
    <t>ftn:</t>
  </si>
  <si>
    <t>ftg:</t>
  </si>
  <si>
    <t>ftp:</t>
  </si>
  <si>
    <t>E:</t>
  </si>
  <si>
    <r>
      <rPr>
        <b/>
        <sz val="12"/>
        <color theme="1"/>
        <rFont val="Calibri"/>
        <family val="2"/>
        <scheme val="minor"/>
      </rPr>
      <t>fb</t>
    </r>
    <r>
      <rPr>
        <b/>
        <sz val="9"/>
        <color theme="1"/>
        <rFont val="Calibri"/>
        <family val="2"/>
        <scheme val="minor"/>
      </rPr>
      <t>(neg):</t>
    </r>
  </si>
  <si>
    <r>
      <rPr>
        <b/>
        <sz val="12"/>
        <color theme="1"/>
        <rFont val="Calibri"/>
        <family val="2"/>
        <scheme val="minor"/>
      </rPr>
      <t>fb</t>
    </r>
    <r>
      <rPr>
        <b/>
        <sz val="9"/>
        <color theme="1"/>
        <rFont val="Calibri"/>
        <family val="2"/>
        <scheme val="minor"/>
      </rPr>
      <t>(pos)</t>
    </r>
    <r>
      <rPr>
        <b/>
        <sz val="11"/>
        <color theme="1"/>
        <rFont val="Calibri"/>
        <family val="2"/>
        <scheme val="minor"/>
      </rPr>
      <t>:</t>
    </r>
  </si>
  <si>
    <t>SPRUCE-LODGEPOLE PINE-JACK PINE</t>
  </si>
  <si>
    <t>DOUGLAS FIR-LARCH</t>
  </si>
  <si>
    <t>SPECIES:</t>
  </si>
  <si>
    <t>GRADE:</t>
  </si>
  <si>
    <t xml:space="preserve">Grade:(D-Fir) </t>
  </si>
  <si>
    <t>14 t-E</t>
  </si>
  <si>
    <t>12 c-E</t>
  </si>
  <si>
    <t>Hem-Fir</t>
  </si>
  <si>
    <t>24-EX</t>
  </si>
  <si>
    <t>HEM-FIR AND DOUGLAS FIR LARCH</t>
  </si>
  <si>
    <r>
      <t>fcp</t>
    </r>
    <r>
      <rPr>
        <b/>
        <sz val="9"/>
        <color theme="1"/>
        <rFont val="Calibri"/>
        <family val="2"/>
        <scheme val="minor"/>
      </rPr>
      <t>(compression)</t>
    </r>
    <r>
      <rPr>
        <b/>
        <sz val="12"/>
        <color theme="1"/>
        <rFont val="Calibri"/>
        <family val="2"/>
        <scheme val="minor"/>
      </rPr>
      <t>:</t>
    </r>
  </si>
  <si>
    <r>
      <t>fcp</t>
    </r>
    <r>
      <rPr>
        <b/>
        <sz val="11"/>
        <color theme="1"/>
        <rFont val="Calibri"/>
        <family val="2"/>
        <scheme val="minor"/>
      </rPr>
      <t>(tension</t>
    </r>
    <r>
      <rPr>
        <b/>
        <sz val="12"/>
        <color theme="1"/>
        <rFont val="Calibri"/>
        <family val="2"/>
        <scheme val="minor"/>
      </rPr>
      <t>)</t>
    </r>
  </si>
  <si>
    <t>-</t>
  </si>
  <si>
    <t>Design of Glulam beam - column with combined Axial and Moment</t>
  </si>
  <si>
    <r>
      <rPr>
        <b/>
        <sz val="12"/>
        <color theme="1"/>
        <rFont val="Calibri"/>
        <family val="2"/>
        <scheme val="minor"/>
      </rPr>
      <t>K</t>
    </r>
    <r>
      <rPr>
        <b/>
        <sz val="9"/>
        <color theme="1"/>
        <rFont val="Calibri"/>
        <family val="2"/>
        <scheme val="minor"/>
      </rPr>
      <t>e</t>
    </r>
    <r>
      <rPr>
        <b/>
        <sz val="12"/>
        <color theme="1"/>
        <rFont val="Calibri"/>
        <family val="2"/>
        <scheme val="minor"/>
      </rPr>
      <t>=</t>
    </r>
  </si>
  <si>
    <t>Le=</t>
  </si>
  <si>
    <t>Fixed -Fixed (not restrained against rotation)</t>
  </si>
  <si>
    <t>DEGREE OF END RESTRAINT OF COMPRESSION MEMBER:</t>
  </si>
  <si>
    <t xml:space="preserve">EFFECTIVE LENGTH, Le FOR BENDING MEMBER: </t>
  </si>
  <si>
    <t xml:space="preserve">Type of Beam: </t>
  </si>
  <si>
    <t>lu</t>
  </si>
  <si>
    <t>mm</t>
  </si>
  <si>
    <t>kN</t>
  </si>
  <si>
    <t>DEAD (D):</t>
  </si>
  <si>
    <t>LIVE   (L) :</t>
  </si>
  <si>
    <t>SNOW (S):</t>
  </si>
  <si>
    <t>WIND(W):</t>
  </si>
  <si>
    <t>EARTHQUAKE(E):</t>
  </si>
  <si>
    <t xml:space="preserve">SPECIFIED STRENGTHS AND MODULUS OF ELASTICITY: </t>
  </si>
  <si>
    <t xml:space="preserve">DIMENSIONS AND LENGTH: </t>
  </si>
  <si>
    <t xml:space="preserve">EFFECTIVE LENGTH FACTOR: </t>
  </si>
  <si>
    <t>SERVICE CONDITION FACTOR, Ks:</t>
  </si>
  <si>
    <t>Dry</t>
  </si>
  <si>
    <t xml:space="preserve">SERVICE CONDITION: </t>
  </si>
  <si>
    <r>
      <t>K</t>
    </r>
    <r>
      <rPr>
        <b/>
        <sz val="9"/>
        <color theme="1"/>
        <rFont val="Calibri"/>
        <family val="2"/>
        <scheme val="minor"/>
      </rPr>
      <t>sb:</t>
    </r>
  </si>
  <si>
    <r>
      <t>K</t>
    </r>
    <r>
      <rPr>
        <b/>
        <sz val="9"/>
        <color theme="1"/>
        <rFont val="Calibri"/>
        <family val="2"/>
        <scheme val="minor"/>
      </rPr>
      <t>sv:</t>
    </r>
  </si>
  <si>
    <r>
      <t>K</t>
    </r>
    <r>
      <rPr>
        <b/>
        <sz val="9"/>
        <color theme="1"/>
        <rFont val="Calibri"/>
        <family val="2"/>
        <scheme val="minor"/>
      </rPr>
      <t>sc:</t>
    </r>
  </si>
  <si>
    <r>
      <t>K</t>
    </r>
    <r>
      <rPr>
        <b/>
        <sz val="9"/>
        <color theme="1"/>
        <rFont val="Calibri"/>
        <family val="2"/>
        <scheme val="minor"/>
      </rPr>
      <t>scp:</t>
    </r>
  </si>
  <si>
    <r>
      <t>K</t>
    </r>
    <r>
      <rPr>
        <b/>
        <sz val="9"/>
        <color theme="1"/>
        <rFont val="Calibri"/>
        <family val="2"/>
        <scheme val="minor"/>
      </rPr>
      <t>st:</t>
    </r>
  </si>
  <si>
    <r>
      <t>K</t>
    </r>
    <r>
      <rPr>
        <b/>
        <sz val="9"/>
        <color theme="1"/>
        <rFont val="Calibri"/>
        <family val="2"/>
        <scheme val="minor"/>
      </rPr>
      <t>stp:</t>
    </r>
  </si>
  <si>
    <r>
      <t>K</t>
    </r>
    <r>
      <rPr>
        <b/>
        <sz val="9"/>
        <color theme="1"/>
        <rFont val="Calibri"/>
        <family val="2"/>
        <scheme val="minor"/>
      </rPr>
      <t>SE:</t>
    </r>
  </si>
  <si>
    <r>
      <t>K</t>
    </r>
    <r>
      <rPr>
        <b/>
        <sz val="9"/>
        <color theme="1"/>
        <rFont val="Calibri"/>
        <family val="2"/>
        <scheme val="minor"/>
      </rPr>
      <t>H:</t>
    </r>
  </si>
  <si>
    <r>
      <t>K</t>
    </r>
    <r>
      <rPr>
        <b/>
        <sz val="9"/>
        <color theme="1"/>
        <rFont val="Calibri"/>
        <family val="2"/>
        <scheme val="minor"/>
      </rPr>
      <t>T</t>
    </r>
    <r>
      <rPr>
        <b/>
        <sz val="12"/>
        <color theme="1"/>
        <rFont val="Calibri"/>
        <family val="2"/>
        <scheme val="minor"/>
      </rPr>
      <t>:</t>
    </r>
  </si>
  <si>
    <t xml:space="preserve">UNFACTORED LOADS(-TENSION, +COMPRESSION): </t>
  </si>
  <si>
    <t>LOAD COMBINATIONS (ULS)</t>
  </si>
  <si>
    <t xml:space="preserve"> FOR EDUCATIONAL PURPOSES ONLY - Not For use as a design aid</t>
  </si>
  <si>
    <t>KD FACTOR</t>
  </si>
  <si>
    <t>COMBINATION_</t>
  </si>
  <si>
    <t xml:space="preserve">UNIFORM WIND FORCE PERPENDICULAR TO THE MEMBER(W): </t>
  </si>
  <si>
    <t>kPA</t>
  </si>
  <si>
    <t xml:space="preserve">                        COLUMN SPACING(mm)=</t>
  </si>
  <si>
    <t xml:space="preserve">Moment Max </t>
  </si>
  <si>
    <t>kN/M</t>
  </si>
  <si>
    <t>DISTRIBUTED LOAD FOR UNIFORM WIND FORCE :</t>
  </si>
  <si>
    <t>1.25D+1.5L</t>
  </si>
  <si>
    <t>1.25D+1.5L+0.5S</t>
  </si>
  <si>
    <t>1.25D+1.5L+0.4W</t>
  </si>
  <si>
    <t>0.9D+1.5L</t>
  </si>
  <si>
    <t>0.9D+1.5L+0.5S</t>
  </si>
  <si>
    <t>0.9D+1.5L+0.4W</t>
  </si>
  <si>
    <t>1.25D+1.5S</t>
  </si>
  <si>
    <t>1.25D+1.5S+0.5L</t>
  </si>
  <si>
    <t>1.25D+1.5S+0.4W</t>
  </si>
  <si>
    <t>0.9D+1.5S</t>
  </si>
  <si>
    <t>0.9D+1.5S+0.5L</t>
  </si>
  <si>
    <t>0.9D+1.5S+0.4W</t>
  </si>
  <si>
    <t>1.25D+1.4W</t>
  </si>
  <si>
    <t>1.25D+1.4W+0.5L</t>
  </si>
  <si>
    <t>1.25D+1.4W+0.5S</t>
  </si>
  <si>
    <t>0.9D+1.4W</t>
  </si>
  <si>
    <t>0.9D+1.4W+0.5L</t>
  </si>
  <si>
    <t>0.9D+1.4W+0.5S</t>
  </si>
  <si>
    <t>1.0D+1.0E</t>
  </si>
  <si>
    <t>1.0D+0.5L+0.25S</t>
  </si>
  <si>
    <t xml:space="preserve">0.4W </t>
  </si>
  <si>
    <t>0.4W</t>
  </si>
  <si>
    <t>1.4W</t>
  </si>
  <si>
    <t>2A</t>
  </si>
  <si>
    <t>2B</t>
  </si>
  <si>
    <t>2C</t>
  </si>
  <si>
    <t>2D</t>
  </si>
  <si>
    <t>2E</t>
  </si>
  <si>
    <t>2F</t>
  </si>
  <si>
    <t>2G</t>
  </si>
  <si>
    <t>3A</t>
  </si>
  <si>
    <t>3B</t>
  </si>
  <si>
    <t>3C</t>
  </si>
  <si>
    <t>3D</t>
  </si>
  <si>
    <t>3E</t>
  </si>
  <si>
    <t>3F</t>
  </si>
  <si>
    <t>3G</t>
  </si>
  <si>
    <t>4A</t>
  </si>
  <si>
    <t>4B</t>
  </si>
  <si>
    <t>4C</t>
  </si>
  <si>
    <t>4D</t>
  </si>
  <si>
    <t>4E</t>
  </si>
  <si>
    <t>4F</t>
  </si>
  <si>
    <t>4G</t>
  </si>
  <si>
    <t>5A</t>
  </si>
  <si>
    <t>5B</t>
  </si>
  <si>
    <r>
      <t>V</t>
    </r>
    <r>
      <rPr>
        <b/>
        <u/>
        <sz val="9"/>
        <color theme="1"/>
        <rFont val="Calibri"/>
        <family val="2"/>
        <scheme val="minor"/>
      </rPr>
      <t>f</t>
    </r>
    <r>
      <rPr>
        <b/>
        <u/>
        <sz val="12"/>
        <color theme="1"/>
        <rFont val="Calibri"/>
        <family val="2"/>
        <scheme val="minor"/>
      </rPr>
      <t>(FACTORED SHEAR LOAD)(kN)</t>
    </r>
  </si>
  <si>
    <t xml:space="preserve">FACTORED AXIAL LOAD(kN) </t>
  </si>
  <si>
    <t>Φ=</t>
  </si>
  <si>
    <t>kzcg=</t>
  </si>
  <si>
    <r>
      <t>Kc</t>
    </r>
    <r>
      <rPr>
        <sz val="9"/>
        <color rgb="FF000000"/>
        <rFont val="Calibri"/>
        <family val="2"/>
        <scheme val="minor"/>
      </rPr>
      <t>0.65=</t>
    </r>
  </si>
  <si>
    <r>
      <t>Kc</t>
    </r>
    <r>
      <rPr>
        <sz val="9"/>
        <color theme="1"/>
        <rFont val="Calibri"/>
        <family val="2"/>
        <scheme val="minor"/>
      </rPr>
      <t>1.0=</t>
    </r>
  </si>
  <si>
    <r>
      <t>Kc</t>
    </r>
    <r>
      <rPr>
        <sz val="9"/>
        <color theme="1"/>
        <rFont val="Calibri"/>
        <family val="2"/>
        <scheme val="minor"/>
      </rPr>
      <t>1.15=</t>
    </r>
  </si>
  <si>
    <r>
      <t>Pr</t>
    </r>
    <r>
      <rPr>
        <sz val="9"/>
        <color rgb="FFFF0000"/>
        <rFont val="Calibri"/>
        <family val="2"/>
        <scheme val="minor"/>
      </rPr>
      <t>0.65=</t>
    </r>
  </si>
  <si>
    <r>
      <t>Pr</t>
    </r>
    <r>
      <rPr>
        <sz val="9"/>
        <color rgb="FFFF0000"/>
        <rFont val="Calibri"/>
        <family val="2"/>
        <scheme val="minor"/>
      </rPr>
      <t>1.0=</t>
    </r>
  </si>
  <si>
    <r>
      <t>Pr</t>
    </r>
    <r>
      <rPr>
        <sz val="9"/>
        <color rgb="FFFF0000"/>
        <rFont val="Calibri"/>
        <family val="2"/>
        <scheme val="minor"/>
      </rPr>
      <t>1.15=</t>
    </r>
  </si>
  <si>
    <r>
      <t>P</t>
    </r>
    <r>
      <rPr>
        <sz val="9"/>
        <color theme="1"/>
        <rFont val="Calibri"/>
        <family val="2"/>
        <scheme val="minor"/>
      </rPr>
      <t>f0.65</t>
    </r>
    <r>
      <rPr>
        <sz val="12"/>
        <color theme="1"/>
        <rFont val="Calibri"/>
        <family val="2"/>
        <scheme val="minor"/>
      </rPr>
      <t>=</t>
    </r>
  </si>
  <si>
    <r>
      <t>P</t>
    </r>
    <r>
      <rPr>
        <sz val="9"/>
        <color theme="1"/>
        <rFont val="Calibri"/>
        <family val="2"/>
        <scheme val="minor"/>
      </rPr>
      <t>f1.0</t>
    </r>
    <r>
      <rPr>
        <sz val="12"/>
        <color theme="1"/>
        <rFont val="Calibri"/>
        <family val="2"/>
        <scheme val="minor"/>
      </rPr>
      <t>=</t>
    </r>
  </si>
  <si>
    <r>
      <t>P</t>
    </r>
    <r>
      <rPr>
        <sz val="9"/>
        <color theme="1"/>
        <rFont val="Calibri"/>
        <family val="2"/>
        <scheme val="minor"/>
      </rPr>
      <t>f1.15</t>
    </r>
    <r>
      <rPr>
        <sz val="12"/>
        <color theme="1"/>
        <rFont val="Calibri"/>
        <family val="2"/>
        <scheme val="minor"/>
      </rPr>
      <t>=</t>
    </r>
  </si>
  <si>
    <t>S=</t>
  </si>
  <si>
    <t>mm^3</t>
  </si>
  <si>
    <t>kzbg=</t>
  </si>
  <si>
    <t xml:space="preserve">le= </t>
  </si>
  <si>
    <r>
      <t>C</t>
    </r>
    <r>
      <rPr>
        <sz val="9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>=</t>
    </r>
  </si>
  <si>
    <r>
      <t>C</t>
    </r>
    <r>
      <rPr>
        <sz val="9"/>
        <color theme="1"/>
        <rFont val="Calibri"/>
        <family val="2"/>
        <scheme val="minor"/>
      </rPr>
      <t>k</t>
    </r>
    <r>
      <rPr>
        <sz val="12"/>
        <color theme="1"/>
        <rFont val="Calibri"/>
        <family val="2"/>
        <scheme val="minor"/>
      </rPr>
      <t>=</t>
    </r>
  </si>
  <si>
    <r>
      <t>K</t>
    </r>
    <r>
      <rPr>
        <sz val="9"/>
        <color theme="1"/>
        <rFont val="Calibri"/>
        <family val="2"/>
        <scheme val="minor"/>
      </rPr>
      <t>L1</t>
    </r>
    <r>
      <rPr>
        <sz val="12"/>
        <color theme="1"/>
        <rFont val="Calibri"/>
        <family val="2"/>
        <scheme val="minor"/>
      </rPr>
      <t>=</t>
    </r>
  </si>
  <si>
    <r>
      <t>K</t>
    </r>
    <r>
      <rPr>
        <sz val="9"/>
        <color theme="1"/>
        <rFont val="Calibri"/>
        <family val="2"/>
        <scheme val="minor"/>
      </rPr>
      <t>L2</t>
    </r>
    <r>
      <rPr>
        <sz val="12"/>
        <color theme="1"/>
        <rFont val="Calibri"/>
        <family val="2"/>
        <scheme val="minor"/>
      </rPr>
      <t>=</t>
    </r>
  </si>
  <si>
    <r>
      <t>Actual K</t>
    </r>
    <r>
      <rPr>
        <sz val="9"/>
        <color rgb="FFFF0000"/>
        <rFont val="Calibri"/>
        <family val="2"/>
        <scheme val="minor"/>
      </rPr>
      <t xml:space="preserve">L </t>
    </r>
    <r>
      <rPr>
        <sz val="12"/>
        <color rgb="FFFF0000"/>
        <rFont val="Calibri"/>
        <family val="2"/>
        <scheme val="minor"/>
      </rPr>
      <t xml:space="preserve">value= </t>
    </r>
  </si>
  <si>
    <r>
      <t>M</t>
    </r>
    <r>
      <rPr>
        <sz val="9"/>
        <color theme="1"/>
        <rFont val="Calibri"/>
        <family val="2"/>
        <scheme val="minor"/>
      </rPr>
      <t>r1=</t>
    </r>
  </si>
  <si>
    <r>
      <t>M</t>
    </r>
    <r>
      <rPr>
        <sz val="9"/>
        <color theme="1"/>
        <rFont val="Calibri"/>
        <family val="2"/>
        <scheme val="minor"/>
      </rPr>
      <t>r2=</t>
    </r>
  </si>
  <si>
    <t>M=</t>
  </si>
  <si>
    <t>(kN.m)</t>
  </si>
  <si>
    <r>
      <t>M</t>
    </r>
    <r>
      <rPr>
        <sz val="9"/>
        <color theme="1"/>
        <rFont val="Calibri"/>
        <family val="2"/>
        <scheme val="minor"/>
      </rPr>
      <t>f</t>
    </r>
    <r>
      <rPr>
        <sz val="12"/>
        <color theme="1"/>
        <rFont val="Calibri"/>
        <family val="2"/>
        <scheme val="minor"/>
      </rPr>
      <t>=</t>
    </r>
  </si>
  <si>
    <t>M(kN.m)</t>
  </si>
  <si>
    <t xml:space="preserve">COMBINED BENDING AND AXIAL LOAD: </t>
  </si>
  <si>
    <t xml:space="preserve">FLEXURAL CAPACITY: </t>
  </si>
  <si>
    <r>
      <t>P</t>
    </r>
    <r>
      <rPr>
        <b/>
        <sz val="9"/>
        <color theme="1"/>
        <rFont val="Calibri"/>
        <family val="2"/>
        <scheme val="minor"/>
      </rPr>
      <t>E</t>
    </r>
    <r>
      <rPr>
        <b/>
        <sz val="12"/>
        <color theme="1"/>
        <rFont val="Calibri"/>
        <family val="2"/>
        <scheme val="minor"/>
      </rPr>
      <t>=</t>
    </r>
  </si>
  <si>
    <t xml:space="preserve">Adequacy check: </t>
  </si>
  <si>
    <r>
      <t>Case4 P</t>
    </r>
    <r>
      <rPr>
        <b/>
        <sz val="9"/>
        <color theme="1"/>
        <rFont val="Calibri"/>
        <family val="2"/>
        <scheme val="minor"/>
      </rPr>
      <t>f1.15</t>
    </r>
    <r>
      <rPr>
        <b/>
        <sz val="12"/>
        <color theme="1"/>
        <rFont val="Calibri"/>
        <family val="2"/>
        <scheme val="minor"/>
      </rPr>
      <t>=</t>
    </r>
  </si>
  <si>
    <r>
      <t>Pr</t>
    </r>
    <r>
      <rPr>
        <b/>
        <sz val="9"/>
        <color theme="1"/>
        <rFont val="Calibri"/>
        <family val="2"/>
        <scheme val="minor"/>
      </rPr>
      <t>0.65</t>
    </r>
    <r>
      <rPr>
        <b/>
        <sz val="12"/>
        <color theme="1"/>
        <rFont val="Calibri"/>
        <family val="2"/>
        <scheme val="minor"/>
      </rPr>
      <t>=</t>
    </r>
  </si>
  <si>
    <r>
      <t>Pr</t>
    </r>
    <r>
      <rPr>
        <b/>
        <sz val="9"/>
        <color theme="1"/>
        <rFont val="Calibri"/>
        <family val="2"/>
        <scheme val="minor"/>
      </rPr>
      <t>1.0</t>
    </r>
    <r>
      <rPr>
        <b/>
        <sz val="12"/>
        <color theme="1"/>
        <rFont val="Calibri"/>
        <family val="2"/>
        <scheme val="minor"/>
      </rPr>
      <t>=</t>
    </r>
  </si>
  <si>
    <r>
      <t>Pr</t>
    </r>
    <r>
      <rPr>
        <b/>
        <sz val="9"/>
        <color theme="1"/>
        <rFont val="Calibri"/>
        <family val="2"/>
        <scheme val="minor"/>
      </rPr>
      <t>1.15</t>
    </r>
    <r>
      <rPr>
        <b/>
        <sz val="12"/>
        <color theme="1"/>
        <rFont val="Calibri"/>
        <family val="2"/>
        <scheme val="minor"/>
      </rPr>
      <t>=</t>
    </r>
  </si>
  <si>
    <t xml:space="preserve">COMBINED CHECK: </t>
  </si>
  <si>
    <t>COMBINED CHECK:</t>
  </si>
  <si>
    <t>Tr=</t>
  </si>
  <si>
    <t>(kN)</t>
  </si>
  <si>
    <r>
      <t>T</t>
    </r>
    <r>
      <rPr>
        <sz val="9"/>
        <color theme="1"/>
        <rFont val="Calibri"/>
        <family val="2"/>
        <scheme val="minor"/>
      </rPr>
      <t xml:space="preserve">R </t>
    </r>
    <r>
      <rPr>
        <sz val="12"/>
        <color theme="1"/>
        <rFont val="Calibri"/>
        <family val="2"/>
        <scheme val="minor"/>
      </rPr>
      <t>=</t>
    </r>
  </si>
  <si>
    <r>
      <rPr>
        <b/>
        <sz val="12"/>
        <color theme="1"/>
        <rFont val="Calibri"/>
        <family val="2"/>
        <scheme val="minor"/>
      </rPr>
      <t>T</t>
    </r>
    <r>
      <rPr>
        <b/>
        <sz val="9"/>
        <color theme="1"/>
        <rFont val="Calibri"/>
        <family val="2"/>
        <scheme val="minor"/>
      </rPr>
      <t>f</t>
    </r>
    <r>
      <rPr>
        <b/>
        <sz val="12"/>
        <color theme="1"/>
        <rFont val="Calibri"/>
        <family val="2"/>
        <scheme val="minor"/>
      </rPr>
      <t>=</t>
    </r>
  </si>
  <si>
    <r>
      <t>Tr</t>
    </r>
    <r>
      <rPr>
        <b/>
        <sz val="9"/>
        <color theme="1"/>
        <rFont val="Calibri"/>
        <family val="2"/>
        <scheme val="minor"/>
      </rPr>
      <t>FINAL</t>
    </r>
    <r>
      <rPr>
        <b/>
        <sz val="12"/>
        <color theme="1"/>
        <rFont val="Calibri"/>
        <family val="2"/>
        <scheme val="minor"/>
      </rPr>
      <t>=</t>
    </r>
  </si>
  <si>
    <t>(NO Fcb SO DOESN’T WORK FOR BENDING)</t>
  </si>
  <si>
    <t xml:space="preserve">AXIAL CAPACITY: </t>
  </si>
  <si>
    <t xml:space="preserve">TENSION RESISTANCE: </t>
  </si>
  <si>
    <t>Z=</t>
  </si>
  <si>
    <t>Vr=</t>
  </si>
  <si>
    <t>Final Vr=</t>
  </si>
  <si>
    <r>
      <t>SHEAR CAPACITY:</t>
    </r>
    <r>
      <rPr>
        <b/>
        <sz val="16"/>
        <color rgb="FFFF0000"/>
        <rFont val="Calibri"/>
        <family val="2"/>
        <scheme val="minor"/>
      </rPr>
      <t xml:space="preserve"> (only applicable for beams &lt; 2.0 m^3)</t>
    </r>
  </si>
  <si>
    <t>Vf=</t>
  </si>
  <si>
    <t>Shear Check:</t>
  </si>
  <si>
    <r>
      <t>Δ</t>
    </r>
    <r>
      <rPr>
        <b/>
        <sz val="9"/>
        <color theme="1"/>
        <rFont val="Calibri"/>
        <family val="2"/>
        <scheme val="minor"/>
      </rPr>
      <t>ALLOW</t>
    </r>
    <r>
      <rPr>
        <b/>
        <sz val="12"/>
        <color theme="1"/>
        <rFont val="Calibri"/>
        <family val="2"/>
        <scheme val="minor"/>
      </rPr>
      <t xml:space="preserve">= </t>
    </r>
  </si>
  <si>
    <t>Beam Fixed at one end, supported at other</t>
  </si>
  <si>
    <t xml:space="preserve">DEFLECTION CHECK FOR WIND LOAD: </t>
  </si>
  <si>
    <t xml:space="preserve">Uniformly distributed beam </t>
  </si>
  <si>
    <r>
      <t>Δ</t>
    </r>
    <r>
      <rPr>
        <b/>
        <sz val="9"/>
        <color theme="1"/>
        <rFont val="Calibri"/>
        <family val="2"/>
        <scheme val="minor"/>
      </rPr>
      <t>MAXVALUE</t>
    </r>
    <r>
      <rPr>
        <b/>
        <sz val="11"/>
        <color theme="1"/>
        <rFont val="Calibri"/>
        <family val="2"/>
        <scheme val="minor"/>
      </rPr>
      <t>=</t>
    </r>
  </si>
  <si>
    <t>(mm)</t>
  </si>
  <si>
    <t xml:space="preserve">TYPE OF BEAM: </t>
  </si>
  <si>
    <t>Cantilevered Beam</t>
  </si>
  <si>
    <t>Beam fixed at one end,supported at other</t>
  </si>
  <si>
    <t>Beam fixed at both ends</t>
  </si>
  <si>
    <t>CHECK:</t>
  </si>
  <si>
    <r>
      <t xml:space="preserve">                                                                                                 CASE2 P</t>
    </r>
    <r>
      <rPr>
        <b/>
        <sz val="9"/>
        <color theme="1"/>
        <rFont val="Calibri"/>
        <family val="2"/>
        <scheme val="minor"/>
      </rPr>
      <t>f</t>
    </r>
    <r>
      <rPr>
        <b/>
        <sz val="8"/>
        <color theme="1"/>
        <rFont val="Calibri"/>
        <family val="2"/>
        <scheme val="minor"/>
      </rPr>
      <t>1.15</t>
    </r>
    <r>
      <rPr>
        <b/>
        <sz val="11"/>
        <color theme="1"/>
        <rFont val="Calibri"/>
        <family val="2"/>
        <scheme val="minor"/>
      </rPr>
      <t>=</t>
    </r>
  </si>
  <si>
    <r>
      <t>CASE1 P</t>
    </r>
    <r>
      <rPr>
        <b/>
        <sz val="9"/>
        <color theme="1"/>
        <rFont val="Calibri"/>
        <family val="2"/>
        <scheme val="minor"/>
      </rPr>
      <t xml:space="preserve">f </t>
    </r>
    <r>
      <rPr>
        <b/>
        <sz val="8"/>
        <color theme="1"/>
        <rFont val="Calibri"/>
        <family val="2"/>
        <scheme val="minor"/>
      </rPr>
      <t>0.65</t>
    </r>
    <r>
      <rPr>
        <b/>
        <sz val="11"/>
        <color theme="1"/>
        <rFont val="Calibri"/>
        <family val="2"/>
        <scheme val="minor"/>
      </rPr>
      <t>=</t>
    </r>
  </si>
  <si>
    <r>
      <t>CASE3 P</t>
    </r>
    <r>
      <rPr>
        <b/>
        <sz val="9"/>
        <color theme="1"/>
        <rFont val="Calibri"/>
        <family val="2"/>
        <scheme val="minor"/>
      </rPr>
      <t>f</t>
    </r>
    <r>
      <rPr>
        <b/>
        <sz val="8"/>
        <color theme="1"/>
        <rFont val="Calibri"/>
        <family val="2"/>
        <scheme val="minor"/>
      </rPr>
      <t>1.15</t>
    </r>
    <r>
      <rPr>
        <b/>
        <sz val="12"/>
        <color theme="1"/>
        <rFont val="Calibri"/>
        <family val="2"/>
        <scheme val="minor"/>
      </rPr>
      <t>=</t>
    </r>
  </si>
  <si>
    <r>
      <rPr>
        <b/>
        <sz val="12"/>
        <color theme="9" tint="-0.499984740745262"/>
        <rFont val="Calibri"/>
        <family val="2"/>
        <scheme val="minor"/>
      </rPr>
      <t xml:space="preserve">                             </t>
    </r>
    <r>
      <rPr>
        <b/>
        <u/>
        <sz val="12"/>
        <color theme="9" tint="-0.499984740745262"/>
        <rFont val="Calibri"/>
        <family val="2"/>
        <scheme val="minor"/>
      </rPr>
      <t>SPRUCE-LODGEPOLE PINE-JACK PINE</t>
    </r>
  </si>
  <si>
    <t xml:space="preserve">INPUTS                                                                                                                                                                                         </t>
  </si>
  <si>
    <t xml:space="preserve">RESULTS:                                                                                                                                                                                                             </t>
  </si>
  <si>
    <t>DOUGLAS FIR LARCH:</t>
  </si>
  <si>
    <t xml:space="preserve">AXIAL CAPACITY : </t>
  </si>
  <si>
    <t>FLEXURAL CAPACITY FOR DOUGLAS FIR LARCH:</t>
  </si>
  <si>
    <r>
      <t>M</t>
    </r>
    <r>
      <rPr>
        <sz val="7"/>
        <color rgb="FFFF0000"/>
        <rFont val="Calibri"/>
        <family val="2"/>
        <scheme val="minor"/>
      </rPr>
      <t>R</t>
    </r>
    <r>
      <rPr>
        <sz val="12"/>
        <color rgb="FFFF0000"/>
        <rFont val="Calibri"/>
        <family val="2"/>
        <scheme val="minor"/>
      </rPr>
      <t>=</t>
    </r>
  </si>
  <si>
    <t>COMBINED BENDING AND AXIAL CHECK:</t>
  </si>
  <si>
    <t xml:space="preserve">COMBINED CHECK (COMPRESSION)1.0= </t>
  </si>
  <si>
    <t xml:space="preserve">COMBINED CHECK (COMPRESSION)1.15= </t>
  </si>
  <si>
    <t xml:space="preserve">COMBINED CHECK TENSION= </t>
  </si>
  <si>
    <r>
      <rPr>
        <sz val="12"/>
        <color rgb="FFFF0000"/>
        <rFont val="Calibri"/>
        <family val="2"/>
        <scheme val="minor"/>
      </rPr>
      <t>Pr</t>
    </r>
    <r>
      <rPr>
        <sz val="9"/>
        <color rgb="FFFF0000"/>
        <rFont val="Calibri"/>
        <family val="2"/>
        <scheme val="minor"/>
      </rPr>
      <t>0.65=</t>
    </r>
  </si>
  <si>
    <r>
      <t>Pr</t>
    </r>
    <r>
      <rPr>
        <sz val="9"/>
        <color rgb="FFFF0000"/>
        <rFont val="Calibri"/>
        <family val="2"/>
        <scheme val="minor"/>
      </rPr>
      <t>1.0=</t>
    </r>
  </si>
  <si>
    <r>
      <t>Pr</t>
    </r>
    <r>
      <rPr>
        <sz val="9"/>
        <color rgb="FFFF0000"/>
        <rFont val="Calibri"/>
        <family val="2"/>
        <scheme val="minor"/>
      </rPr>
      <t>1.15=</t>
    </r>
  </si>
  <si>
    <t>TENSION CAPACITY:</t>
  </si>
  <si>
    <r>
      <t>T</t>
    </r>
    <r>
      <rPr>
        <b/>
        <sz val="8"/>
        <color theme="1"/>
        <rFont val="Calibri"/>
        <family val="2"/>
        <scheme val="minor"/>
      </rPr>
      <t>R=</t>
    </r>
  </si>
  <si>
    <r>
      <t>SHEAR CAPACITY:(</t>
    </r>
    <r>
      <rPr>
        <b/>
        <u/>
        <sz val="12"/>
        <color rgb="FFFF0000"/>
        <rFont val="Calibri"/>
        <family val="2"/>
        <scheme val="minor"/>
      </rPr>
      <t>APPLICABLE FOR BEAMS&lt;V=2.0 m^3</t>
    </r>
    <r>
      <rPr>
        <b/>
        <u/>
        <sz val="12"/>
        <rFont val="Calibri"/>
        <family val="2"/>
        <scheme val="minor"/>
      </rPr>
      <t>)</t>
    </r>
  </si>
  <si>
    <t xml:space="preserve">DEFLECTION CHECK: </t>
  </si>
  <si>
    <t>DEFLECTION=</t>
  </si>
  <si>
    <t>SPRUCE-LODGEPOLE PINE-JACK PINE:</t>
  </si>
  <si>
    <t xml:space="preserve">CALCULATIONS:                                                                                                                                                                                                                                      </t>
  </si>
  <si>
    <t>d(mm)=</t>
  </si>
  <si>
    <t>h(mm)=</t>
  </si>
  <si>
    <t>parallel to grain</t>
  </si>
  <si>
    <t>all other properties</t>
  </si>
  <si>
    <t>KH:</t>
  </si>
  <si>
    <t>Case1</t>
  </si>
  <si>
    <t>Case2(1.0) compression</t>
  </si>
  <si>
    <t>Case3(1.0) compression</t>
  </si>
  <si>
    <t>Case2(1.0)tension</t>
  </si>
  <si>
    <t>Case2(1.15)compression</t>
  </si>
  <si>
    <t>Case2(1.15)tension</t>
  </si>
  <si>
    <t>Case3(1.15)compression</t>
  </si>
  <si>
    <t>Case3(1.0) tension</t>
  </si>
  <si>
    <t>Case3(1.15)tension</t>
  </si>
  <si>
    <t>Case4(1.15)compression</t>
  </si>
  <si>
    <t>Case4(1.15)tension</t>
  </si>
  <si>
    <t>1.4D</t>
  </si>
  <si>
    <r>
      <t xml:space="preserve">                                                                                                CASE 2  P</t>
    </r>
    <r>
      <rPr>
        <b/>
        <sz val="9"/>
        <color theme="1"/>
        <rFont val="Calibri"/>
        <family val="2"/>
        <scheme val="minor"/>
      </rPr>
      <t>f</t>
    </r>
    <r>
      <rPr>
        <b/>
        <sz val="8"/>
        <color theme="1"/>
        <rFont val="Calibri"/>
        <family val="2"/>
        <scheme val="minor"/>
      </rPr>
      <t>1.0</t>
    </r>
    <r>
      <rPr>
        <b/>
        <sz val="12"/>
        <color theme="1"/>
        <rFont val="Calibri"/>
        <family val="2"/>
        <scheme val="minor"/>
      </rPr>
      <t>=</t>
    </r>
  </si>
  <si>
    <r>
      <t>Case3 P</t>
    </r>
    <r>
      <rPr>
        <b/>
        <sz val="8"/>
        <color theme="1"/>
        <rFont val="Calibri"/>
        <family val="2"/>
        <scheme val="minor"/>
      </rPr>
      <t>f1.0=</t>
    </r>
  </si>
  <si>
    <r>
      <t>T</t>
    </r>
    <r>
      <rPr>
        <b/>
        <sz val="9"/>
        <color theme="1"/>
        <rFont val="Calibri"/>
        <family val="2"/>
        <scheme val="minor"/>
      </rPr>
      <t>f1.0</t>
    </r>
    <r>
      <rPr>
        <b/>
        <sz val="12"/>
        <color theme="1"/>
        <rFont val="Calibri"/>
        <family val="2"/>
        <scheme val="minor"/>
      </rPr>
      <t>=</t>
    </r>
  </si>
  <si>
    <t>Simple Beam(pin-pin)</t>
  </si>
  <si>
    <t>NEETI PAUDEL</t>
  </si>
  <si>
    <t xml:space="preserve">REFERENCE: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</si>
  <si>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Canadian Standards Association (CSA) (2010) O86-09 Engineering design in wood (with Update No.1). </t>
  </si>
  <si>
    <t xml:space="preserve">Mississauga, ON: Canadian Standards Association. </t>
  </si>
  <si>
    <r>
      <t>M</t>
    </r>
    <r>
      <rPr>
        <b/>
        <u/>
        <sz val="9"/>
        <rFont val="Calibri"/>
        <family val="2"/>
        <scheme val="minor"/>
      </rPr>
      <t>f</t>
    </r>
    <r>
      <rPr>
        <b/>
        <u/>
        <sz val="12"/>
        <rFont val="Calibri"/>
        <family val="2"/>
        <scheme val="minor"/>
      </rPr>
      <t xml:space="preserve"> (FACTORED MOMENT)(kN.M)</t>
    </r>
  </si>
  <si>
    <r>
      <t>Tf/k</t>
    </r>
    <r>
      <rPr>
        <b/>
        <u/>
        <sz val="9"/>
        <rFont val="Calibri"/>
        <family val="2"/>
        <scheme val="minor"/>
      </rPr>
      <t>D</t>
    </r>
  </si>
  <si>
    <r>
      <rPr>
        <sz val="12"/>
        <rFont val="Calibri"/>
        <family val="2"/>
      </rPr>
      <t>Pin-Free or Fixed -Free</t>
    </r>
    <r>
      <rPr>
        <b/>
        <sz val="12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</si>
</sst>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Zapf Dingbats"/>
      <family val="2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12"/>
      <color theme="9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2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theme="5" tint="0.79998168889431442"/>
      <name val="Calibri"/>
      <scheme val="minor"/>
    </font>
    <font>
      <b/>
      <sz val="11"/>
      <name val="Calibri"/>
    </font>
    <font>
      <sz val="12"/>
      <color theme="5" tint="0.79998168889431442"/>
      <name val="Calibri"/>
      <family val="2"/>
      <scheme val="minor"/>
    </font>
    <font>
      <b/>
      <u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DCDB"/>
        <bgColor rgb="FF000000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rgb="FFFF0000"/>
      </left>
      <right style="hair">
        <color auto="1"/>
      </right>
      <top style="hair">
        <color rgb="FFFF0000"/>
      </top>
      <bottom style="hair">
        <color auto="1"/>
      </bottom>
      <diagonal/>
    </border>
    <border>
      <left style="dotted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4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 applyFill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2" borderId="0" xfId="0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9" xfId="0" applyFill="1" applyBorder="1" applyAlignment="1"/>
    <xf numFmtId="0" fontId="0" fillId="2" borderId="10" xfId="0" applyFill="1" applyBorder="1" applyAlignment="1"/>
    <xf numFmtId="0" fontId="2" fillId="0" borderId="0" xfId="0" applyFont="1" applyAlignment="1">
      <alignment horizontal="left"/>
    </xf>
    <xf numFmtId="0" fontId="0" fillId="2" borderId="3" xfId="0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Font="1"/>
    <xf numFmtId="0" fontId="10" fillId="3" borderId="0" xfId="0" applyFont="1" applyFill="1" applyAlignment="1">
      <alignment horizontal="left"/>
    </xf>
    <xf numFmtId="0" fontId="12" fillId="0" borderId="0" xfId="0" applyFont="1"/>
    <xf numFmtId="164" fontId="0" fillId="0" borderId="0" xfId="0" applyNumberFormat="1"/>
    <xf numFmtId="0" fontId="0" fillId="4" borderId="0" xfId="0" applyFill="1"/>
    <xf numFmtId="0" fontId="0" fillId="5" borderId="12" xfId="0" applyFill="1" applyBorder="1"/>
    <xf numFmtId="0" fontId="14" fillId="4" borderId="0" xfId="0" applyFont="1" applyFill="1"/>
    <xf numFmtId="0" fontId="15" fillId="4" borderId="0" xfId="0" applyFont="1" applyFill="1"/>
    <xf numFmtId="0" fontId="10" fillId="4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0" fillId="4" borderId="0" xfId="0" applyFill="1" applyAlignment="1">
      <alignment horizontal="left"/>
    </xf>
    <xf numFmtId="0" fontId="0" fillId="4" borderId="0" xfId="0" applyFill="1" applyBorder="1" applyAlignment="1">
      <alignment horizontal="left"/>
    </xf>
    <xf numFmtId="0" fontId="13" fillId="4" borderId="0" xfId="0" applyFont="1" applyFill="1"/>
    <xf numFmtId="0" fontId="9" fillId="4" borderId="0" xfId="0" applyFont="1" applyFill="1"/>
    <xf numFmtId="0" fontId="8" fillId="4" borderId="0" xfId="0" applyFont="1" applyFill="1" applyAlignment="1">
      <alignment horizontal="right"/>
    </xf>
    <xf numFmtId="0" fontId="17" fillId="4" borderId="0" xfId="0" applyFont="1" applyFill="1"/>
    <xf numFmtId="0" fontId="18" fillId="4" borderId="0" xfId="0" applyFont="1" applyFill="1"/>
    <xf numFmtId="0" fontId="0" fillId="4" borderId="13" xfId="0" applyFill="1" applyBorder="1" applyAlignment="1">
      <alignment horizontal="right"/>
    </xf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 applyAlignment="1">
      <alignment horizontal="left"/>
    </xf>
    <xf numFmtId="0" fontId="0" fillId="4" borderId="0" xfId="0" applyFill="1" applyBorder="1"/>
    <xf numFmtId="0" fontId="0" fillId="4" borderId="16" xfId="0" applyFill="1" applyBorder="1"/>
    <xf numFmtId="164" fontId="0" fillId="4" borderId="15" xfId="0" applyNumberFormat="1" applyFill="1" applyBorder="1" applyAlignment="1">
      <alignment horizontal="left"/>
    </xf>
    <xf numFmtId="164" fontId="0" fillId="4" borderId="0" xfId="0" applyNumberFormat="1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18" xfId="0" applyFill="1" applyBorder="1"/>
    <xf numFmtId="0" fontId="0" fillId="4" borderId="18" xfId="0" applyFill="1" applyBorder="1" applyAlignment="1">
      <alignment horizontal="left"/>
    </xf>
    <xf numFmtId="0" fontId="0" fillId="4" borderId="19" xfId="0" applyFill="1" applyBorder="1"/>
    <xf numFmtId="0" fontId="19" fillId="4" borderId="0" xfId="0" applyFont="1" applyFill="1"/>
    <xf numFmtId="0" fontId="20" fillId="4" borderId="0" xfId="0" applyFont="1" applyFill="1" applyAlignment="1">
      <alignment horizontal="left"/>
    </xf>
    <xf numFmtId="0" fontId="21" fillId="4" borderId="0" xfId="0" applyFont="1" applyFill="1"/>
    <xf numFmtId="0" fontId="19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0" fillId="6" borderId="12" xfId="0" applyFill="1" applyBorder="1" applyAlignment="1">
      <alignment horizontal="left"/>
    </xf>
    <xf numFmtId="164" fontId="0" fillId="4" borderId="12" xfId="0" applyNumberFormat="1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23" fillId="4" borderId="0" xfId="0" applyFont="1" applyFill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6" fillId="4" borderId="0" xfId="0" applyFont="1" applyFill="1" applyAlignment="1">
      <alignment horizontal="left"/>
    </xf>
    <xf numFmtId="0" fontId="26" fillId="4" borderId="0" xfId="0" applyFont="1" applyFill="1"/>
    <xf numFmtId="0" fontId="0" fillId="5" borderId="1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0" xfId="0" applyFill="1" applyAlignment="1">
      <alignment horizontal="right"/>
    </xf>
    <xf numFmtId="0" fontId="0" fillId="4" borderId="0" xfId="0" applyFill="1" applyBorder="1" applyAlignment="1">
      <alignment horizontal="right"/>
    </xf>
    <xf numFmtId="0" fontId="10" fillId="7" borderId="0" xfId="0" applyFont="1" applyFill="1" applyBorder="1" applyAlignment="1">
      <alignment horizontal="right"/>
    </xf>
    <xf numFmtId="0" fontId="27" fillId="4" borderId="0" xfId="0" applyFont="1" applyFill="1" applyAlignment="1">
      <alignment horizontal="right"/>
    </xf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 applyAlignment="1">
      <alignment horizontal="left"/>
    </xf>
    <xf numFmtId="0" fontId="30" fillId="4" borderId="0" xfId="0" applyFont="1" applyFill="1" applyBorder="1"/>
    <xf numFmtId="0" fontId="21" fillId="4" borderId="0" xfId="0" applyFont="1" applyFill="1" applyAlignment="1">
      <alignment horizontal="right"/>
    </xf>
    <xf numFmtId="0" fontId="31" fillId="4" borderId="0" xfId="0" applyFont="1" applyFill="1"/>
    <xf numFmtId="0" fontId="29" fillId="4" borderId="0" xfId="0" applyFont="1" applyFill="1" applyBorder="1"/>
    <xf numFmtId="0" fontId="29" fillId="4" borderId="16" xfId="0" applyFont="1" applyFill="1" applyBorder="1"/>
    <xf numFmtId="0" fontId="30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/>
    </xf>
    <xf numFmtId="0" fontId="25" fillId="0" borderId="27" xfId="0" applyFont="1" applyBorder="1"/>
    <xf numFmtId="0" fontId="0" fillId="0" borderId="27" xfId="0" applyBorder="1"/>
    <xf numFmtId="0" fontId="16" fillId="4" borderId="28" xfId="0" applyFont="1" applyFill="1" applyBorder="1" applyAlignment="1">
      <alignment horizontal="left"/>
    </xf>
    <xf numFmtId="0" fontId="16" fillId="4" borderId="13" xfId="0" applyFont="1" applyFill="1" applyBorder="1" applyAlignment="1">
      <alignment horizontal="center"/>
    </xf>
    <xf numFmtId="0" fontId="23" fillId="4" borderId="15" xfId="0" applyFont="1" applyFill="1" applyBorder="1" applyAlignment="1">
      <alignment horizontal="left"/>
    </xf>
    <xf numFmtId="0" fontId="24" fillId="4" borderId="0" xfId="0" applyFont="1" applyFill="1" applyBorder="1" applyAlignment="1">
      <alignment horizontal="right"/>
    </xf>
    <xf numFmtId="0" fontId="24" fillId="4" borderId="0" xfId="0" applyFont="1" applyFill="1" applyBorder="1"/>
    <xf numFmtId="0" fontId="23" fillId="4" borderId="17" xfId="0" applyFont="1" applyFill="1" applyBorder="1" applyAlignment="1">
      <alignment horizontal="left"/>
    </xf>
    <xf numFmtId="0" fontId="23" fillId="4" borderId="18" xfId="0" applyFont="1" applyFill="1" applyBorder="1" applyAlignment="1">
      <alignment horizontal="center"/>
    </xf>
    <xf numFmtId="0" fontId="24" fillId="4" borderId="18" xfId="0" applyFont="1" applyFill="1" applyBorder="1"/>
    <xf numFmtId="0" fontId="36" fillId="4" borderId="0" xfId="0" applyFont="1" applyFill="1" applyBorder="1" applyAlignment="1">
      <alignment horizontal="center"/>
    </xf>
    <xf numFmtId="0" fontId="34" fillId="4" borderId="15" xfId="0" applyFont="1" applyFill="1" applyBorder="1"/>
    <xf numFmtId="0" fontId="34" fillId="4" borderId="0" xfId="0" applyFont="1" applyFill="1" applyBorder="1"/>
    <xf numFmtId="0" fontId="36" fillId="4" borderId="15" xfId="0" applyFont="1" applyFill="1" applyBorder="1" applyAlignment="1">
      <alignment horizontal="left"/>
    </xf>
    <xf numFmtId="0" fontId="0" fillId="4" borderId="17" xfId="0" applyFill="1" applyBorder="1"/>
    <xf numFmtId="0" fontId="0" fillId="4" borderId="22" xfId="0" applyFill="1" applyBorder="1" applyAlignment="1">
      <alignment horizontal="right"/>
    </xf>
    <xf numFmtId="0" fontId="0" fillId="4" borderId="20" xfId="0" applyFill="1" applyBorder="1"/>
    <xf numFmtId="0" fontId="0" fillId="4" borderId="12" xfId="0" applyFill="1" applyBorder="1"/>
    <xf numFmtId="0" fontId="0" fillId="4" borderId="28" xfId="0" applyFill="1" applyBorder="1"/>
    <xf numFmtId="0" fontId="0" fillId="4" borderId="25" xfId="0" applyFill="1" applyBorder="1" applyAlignment="1">
      <alignment horizontal="right"/>
    </xf>
    <xf numFmtId="0" fontId="0" fillId="4" borderId="12" xfId="0" applyFill="1" applyBorder="1" applyAlignment="1">
      <alignment horizontal="right"/>
    </xf>
    <xf numFmtId="0" fontId="10" fillId="7" borderId="12" xfId="0" applyFont="1" applyFill="1" applyBorder="1" applyAlignment="1">
      <alignment horizontal="right"/>
    </xf>
    <xf numFmtId="0" fontId="27" fillId="7" borderId="12" xfId="0" applyFont="1" applyFill="1" applyBorder="1" applyAlignment="1">
      <alignment horizontal="right"/>
    </xf>
    <xf numFmtId="0" fontId="27" fillId="4" borderId="12" xfId="0" applyFont="1" applyFill="1" applyBorder="1" applyAlignment="1">
      <alignment horizontal="right"/>
    </xf>
    <xf numFmtId="0" fontId="27" fillId="4" borderId="23" xfId="0" applyFont="1" applyFill="1" applyBorder="1" applyAlignment="1">
      <alignment horizontal="right"/>
    </xf>
    <xf numFmtId="0" fontId="26" fillId="4" borderId="25" xfId="0" applyFont="1" applyFill="1" applyBorder="1"/>
    <xf numFmtId="0" fontId="30" fillId="4" borderId="25" xfId="0" applyFont="1" applyFill="1" applyBorder="1" applyAlignment="1">
      <alignment horizontal="right"/>
    </xf>
    <xf numFmtId="0" fontId="30" fillId="4" borderId="17" xfId="0" applyFont="1" applyFill="1" applyBorder="1" applyAlignment="1">
      <alignment horizontal="right"/>
    </xf>
    <xf numFmtId="0" fontId="27" fillId="4" borderId="12" xfId="0" applyFont="1" applyFill="1" applyBorder="1"/>
    <xf numFmtId="0" fontId="0" fillId="4" borderId="14" xfId="0" applyFill="1" applyBorder="1" applyAlignment="1">
      <alignment horizontal="right"/>
    </xf>
    <xf numFmtId="0" fontId="0" fillId="4" borderId="23" xfId="0" applyFill="1" applyBorder="1" applyAlignment="1">
      <alignment horizontal="left"/>
    </xf>
    <xf numFmtId="0" fontId="0" fillId="4" borderId="23" xfId="0" applyFill="1" applyBorder="1" applyAlignment="1">
      <alignment horizontal="right"/>
    </xf>
    <xf numFmtId="0" fontId="0" fillId="4" borderId="25" xfId="0" applyFill="1" applyBorder="1" applyAlignment="1">
      <alignment horizontal="left"/>
    </xf>
    <xf numFmtId="0" fontId="2" fillId="4" borderId="25" xfId="0" applyFont="1" applyFill="1" applyBorder="1" applyAlignment="1">
      <alignment horizontal="right"/>
    </xf>
    <xf numFmtId="0" fontId="2" fillId="4" borderId="17" xfId="0" applyFont="1" applyFill="1" applyBorder="1"/>
    <xf numFmtId="0" fontId="2" fillId="4" borderId="12" xfId="0" applyFont="1" applyFill="1" applyBorder="1" applyAlignment="1">
      <alignment horizontal="right"/>
    </xf>
    <xf numFmtId="0" fontId="2" fillId="4" borderId="22" xfId="0" applyFont="1" applyFill="1" applyBorder="1" applyAlignment="1">
      <alignment horizontal="right"/>
    </xf>
    <xf numFmtId="0" fontId="0" fillId="4" borderId="22" xfId="0" applyFill="1" applyBorder="1"/>
    <xf numFmtId="0" fontId="0" fillId="4" borderId="19" xfId="0" applyFill="1" applyBorder="1" applyAlignment="1">
      <alignment horizontal="right"/>
    </xf>
    <xf numFmtId="0" fontId="2" fillId="4" borderId="12" xfId="0" applyFont="1" applyFill="1" applyBorder="1"/>
    <xf numFmtId="0" fontId="2" fillId="4" borderId="20" xfId="0" applyFont="1" applyFill="1" applyBorder="1"/>
    <xf numFmtId="0" fontId="2" fillId="4" borderId="14" xfId="0" applyFont="1" applyFill="1" applyBorder="1" applyAlignment="1">
      <alignment horizontal="right"/>
    </xf>
    <xf numFmtId="0" fontId="0" fillId="4" borderId="22" xfId="0" applyFill="1" applyBorder="1" applyAlignment="1">
      <alignment horizontal="left"/>
    </xf>
    <xf numFmtId="0" fontId="26" fillId="4" borderId="16" xfId="0" applyFont="1" applyFill="1" applyBorder="1"/>
    <xf numFmtId="0" fontId="0" fillId="4" borderId="16" xfId="0" applyFill="1" applyBorder="1" applyAlignment="1">
      <alignment horizontal="right"/>
    </xf>
    <xf numFmtId="0" fontId="0" fillId="4" borderId="16" xfId="0" applyFill="1" applyBorder="1" applyAlignment="1">
      <alignment horizontal="left"/>
    </xf>
    <xf numFmtId="0" fontId="27" fillId="4" borderId="16" xfId="0" applyFont="1" applyFill="1" applyBorder="1" applyAlignment="1">
      <alignment horizontal="right"/>
    </xf>
    <xf numFmtId="0" fontId="27" fillId="7" borderId="0" xfId="0" applyFont="1" applyFill="1" applyBorder="1" applyAlignment="1">
      <alignment horizontal="right"/>
    </xf>
    <xf numFmtId="0" fontId="27" fillId="4" borderId="0" xfId="0" applyFont="1" applyFill="1" applyBorder="1" applyAlignment="1">
      <alignment horizontal="right"/>
    </xf>
    <xf numFmtId="0" fontId="0" fillId="4" borderId="19" xfId="0" applyFill="1" applyBorder="1" applyAlignment="1">
      <alignment horizontal="left"/>
    </xf>
    <xf numFmtId="0" fontId="0" fillId="4" borderId="22" xfId="0" applyFill="1" applyBorder="1" applyAlignment="1">
      <alignment horizontal="center"/>
    </xf>
    <xf numFmtId="0" fontId="32" fillId="7" borderId="0" xfId="0" applyFont="1" applyFill="1" applyBorder="1" applyAlignment="1">
      <alignment horizontal="right"/>
    </xf>
    <xf numFmtId="0" fontId="0" fillId="4" borderId="30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4" borderId="31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37" fillId="4" borderId="0" xfId="0" applyFont="1" applyFill="1" applyAlignment="1">
      <alignment horizontal="right"/>
    </xf>
    <xf numFmtId="0" fontId="39" fillId="4" borderId="25" xfId="0" applyFont="1" applyFill="1" applyBorder="1"/>
    <xf numFmtId="0" fontId="40" fillId="4" borderId="25" xfId="0" applyFont="1" applyFill="1" applyBorder="1"/>
    <xf numFmtId="0" fontId="40" fillId="4" borderId="0" xfId="0" applyFont="1" applyFill="1" applyBorder="1" applyAlignment="1">
      <alignment horizontal="left"/>
    </xf>
    <xf numFmtId="0" fontId="39" fillId="4" borderId="25" xfId="0" applyFont="1" applyFill="1" applyBorder="1" applyAlignment="1">
      <alignment horizontal="right"/>
    </xf>
    <xf numFmtId="0" fontId="0" fillId="4" borderId="21" xfId="0" applyFill="1" applyBorder="1" applyAlignment="1">
      <alignment horizontal="left"/>
    </xf>
    <xf numFmtId="0" fontId="39" fillId="4" borderId="0" xfId="0" applyFont="1" applyFill="1" applyBorder="1" applyAlignment="1">
      <alignment horizontal="left"/>
    </xf>
    <xf numFmtId="0" fontId="2" fillId="4" borderId="0" xfId="0" applyFont="1" applyFill="1"/>
    <xf numFmtId="0" fontId="41" fillId="4" borderId="0" xfId="0" applyFont="1" applyFill="1"/>
    <xf numFmtId="0" fontId="42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4" borderId="0" xfId="0" applyFont="1" applyFill="1" applyAlignment="1">
      <alignment horizontal="left"/>
    </xf>
    <xf numFmtId="0" fontId="45" fillId="7" borderId="0" xfId="0" applyFont="1" applyFill="1" applyBorder="1" applyAlignment="1">
      <alignment horizontal="left"/>
    </xf>
    <xf numFmtId="0" fontId="47" fillId="4" borderId="0" xfId="0" applyFont="1" applyFill="1" applyAlignment="1">
      <alignment horizontal="right"/>
    </xf>
    <xf numFmtId="0" fontId="47" fillId="7" borderId="0" xfId="0" applyFont="1" applyFill="1" applyBorder="1" applyAlignment="1">
      <alignment horizontal="right"/>
    </xf>
    <xf numFmtId="0" fontId="47" fillId="4" borderId="0" xfId="0" applyFont="1" applyFill="1" applyBorder="1" applyAlignment="1">
      <alignment horizontal="right"/>
    </xf>
    <xf numFmtId="0" fontId="43" fillId="0" borderId="0" xfId="0" applyFont="1"/>
    <xf numFmtId="0" fontId="43" fillId="5" borderId="0" xfId="0" applyFont="1" applyFill="1"/>
    <xf numFmtId="0" fontId="50" fillId="4" borderId="0" xfId="0" applyFont="1" applyFill="1"/>
    <xf numFmtId="0" fontId="51" fillId="4" borderId="12" xfId="0" applyFont="1" applyFill="1" applyBorder="1"/>
    <xf numFmtId="0" fontId="51" fillId="4" borderId="17" xfId="0" applyFont="1" applyFill="1" applyBorder="1"/>
    <xf numFmtId="0" fontId="16" fillId="4" borderId="0" xfId="0" applyFont="1" applyFill="1" applyAlignment="1">
      <alignment horizontal="right"/>
    </xf>
    <xf numFmtId="0" fontId="35" fillId="5" borderId="12" xfId="0" applyFont="1" applyFill="1" applyBorder="1"/>
    <xf numFmtId="0" fontId="36" fillId="4" borderId="0" xfId="0" applyFont="1" applyFill="1" applyAlignment="1">
      <alignment horizontal="center"/>
    </xf>
    <xf numFmtId="0" fontId="34" fillId="4" borderId="0" xfId="0" applyFont="1" applyFill="1" applyBorder="1" applyAlignment="1">
      <alignment horizontal="right"/>
    </xf>
    <xf numFmtId="0" fontId="52" fillId="4" borderId="15" xfId="0" applyFont="1" applyFill="1" applyBorder="1" applyAlignment="1">
      <alignment horizontal="left"/>
    </xf>
    <xf numFmtId="0" fontId="25" fillId="0" borderId="11" xfId="0" applyFont="1" applyBorder="1"/>
    <xf numFmtId="0" fontId="35" fillId="4" borderId="0" xfId="0" applyFont="1" applyFill="1"/>
    <xf numFmtId="0" fontId="53" fillId="4" borderId="0" xfId="0" applyFont="1" applyFill="1"/>
    <xf numFmtId="0" fontId="34" fillId="4" borderId="0" xfId="0" applyFont="1" applyFill="1"/>
    <xf numFmtId="0" fontId="35" fillId="0" borderId="0" xfId="0" applyFont="1"/>
    <xf numFmtId="0" fontId="35" fillId="4" borderId="0" xfId="0" applyFont="1" applyFill="1" applyBorder="1"/>
    <xf numFmtId="0" fontId="35" fillId="0" borderId="11" xfId="0" applyFont="1" applyBorder="1"/>
    <xf numFmtId="0" fontId="35" fillId="0" borderId="27" xfId="0" applyFont="1" applyBorder="1"/>
    <xf numFmtId="0" fontId="48" fillId="4" borderId="13" xfId="0" applyFont="1" applyFill="1" applyBorder="1" applyAlignment="1">
      <alignment horizontal="center"/>
    </xf>
    <xf numFmtId="0" fontId="48" fillId="4" borderId="14" xfId="0" applyFont="1" applyFill="1" applyBorder="1"/>
    <xf numFmtId="0" fontId="35" fillId="4" borderId="16" xfId="0" applyFont="1" applyFill="1" applyBorder="1"/>
    <xf numFmtId="0" fontId="34" fillId="4" borderId="16" xfId="0" applyFont="1" applyFill="1" applyBorder="1"/>
    <xf numFmtId="0" fontId="35" fillId="4" borderId="18" xfId="0" applyFont="1" applyFill="1" applyBorder="1"/>
    <xf numFmtId="0" fontId="35" fillId="4" borderId="29" xfId="0" applyFont="1" applyFill="1" applyBorder="1"/>
    <xf numFmtId="0" fontId="35" fillId="4" borderId="0" xfId="0" applyFont="1" applyFill="1" applyAlignment="1">
      <alignment horizontal="left"/>
    </xf>
    <xf numFmtId="0" fontId="34" fillId="4" borderId="0" xfId="0" applyFont="1" applyFill="1" applyAlignment="1">
      <alignment horizontal="left"/>
    </xf>
    <xf numFmtId="164" fontId="34" fillId="4" borderId="0" xfId="0" applyNumberFormat="1" applyFont="1" applyFill="1"/>
    <xf numFmtId="0" fontId="55" fillId="4" borderId="0" xfId="0" applyFont="1" applyFill="1"/>
    <xf numFmtId="0" fontId="56" fillId="4" borderId="0" xfId="0" applyFont="1" applyFill="1"/>
    <xf numFmtId="2" fontId="34" fillId="4" borderId="0" xfId="0" applyNumberFormat="1" applyFont="1" applyFill="1"/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40" fillId="4" borderId="18" xfId="0" applyFont="1" applyFill="1" applyBorder="1" applyAlignment="1">
      <alignment horizontal="left"/>
    </xf>
    <xf numFmtId="0" fontId="17" fillId="4" borderId="18" xfId="0" applyFont="1" applyFill="1" applyBorder="1" applyAlignment="1">
      <alignment horizontal="left"/>
    </xf>
  </cellXfs>
  <cellStyles count="4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43645</xdr:colOff>
      <xdr:row>3</xdr:row>
      <xdr:rowOff>12700</xdr:rowOff>
    </xdr:from>
    <xdr:to>
      <xdr:col>8</xdr:col>
      <xdr:colOff>1439750</xdr:colOff>
      <xdr:row>22</xdr:row>
      <xdr:rowOff>173865</xdr:rowOff>
    </xdr:to>
    <xdr:pic>
      <xdr:nvPicPr>
        <xdr:cNvPr id="2" name="Picture 1" descr="Untitledbeamcolumnd_finaljp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560" y="763968"/>
          <a:ext cx="3113289" cy="4099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3"/>
  <sheetViews>
    <sheetView tabSelected="1" zoomScale="125" zoomScaleNormal="125" zoomScalePageLayoutView="125" workbookViewId="0">
      <selection activeCell="B57" sqref="B57"/>
    </sheetView>
  </sheetViews>
  <sheetFormatPr defaultColWidth="11.19921875" defaultRowHeight="15.6"/>
  <cols>
    <col min="1" max="1" width="62.796875" customWidth="1"/>
    <col min="2" max="2" width="13.796875" customWidth="1"/>
    <col min="3" max="3" width="16.19921875" customWidth="1"/>
    <col min="4" max="4" width="26.796875" customWidth="1"/>
    <col min="5" max="5" width="18.796875" customWidth="1"/>
    <col min="6" max="6" width="18" customWidth="1"/>
    <col min="9" max="9" width="19.19921875" customWidth="1"/>
    <col min="18" max="18" width="46.296875" customWidth="1"/>
    <col min="20" max="20" width="37.69921875" customWidth="1"/>
  </cols>
  <sheetData>
    <row r="1" spans="1:27" ht="28.8">
      <c r="A1" s="35" t="s">
        <v>81</v>
      </c>
      <c r="B1" s="35"/>
      <c r="C1" s="35"/>
      <c r="D1" s="35"/>
      <c r="E1" s="33"/>
      <c r="F1" s="33"/>
      <c r="G1" s="33"/>
      <c r="H1" s="33"/>
      <c r="I1" s="33"/>
      <c r="J1" s="33"/>
      <c r="K1" s="172"/>
      <c r="L1" s="172"/>
      <c r="M1" s="172"/>
      <c r="N1" s="172"/>
      <c r="O1" s="172"/>
      <c r="P1" s="172"/>
      <c r="Q1" s="172"/>
      <c r="R1" s="174"/>
      <c r="S1" s="174"/>
      <c r="T1" s="174"/>
      <c r="U1" s="174"/>
      <c r="V1" s="174"/>
    </row>
    <row r="2" spans="1:27">
      <c r="A2" s="36" t="s">
        <v>113</v>
      </c>
      <c r="B2" s="36"/>
      <c r="C2" s="36"/>
      <c r="D2" s="36"/>
      <c r="E2" s="33"/>
      <c r="F2" s="33"/>
      <c r="G2" s="33"/>
      <c r="H2" s="33"/>
      <c r="I2" s="33"/>
      <c r="J2" s="33"/>
      <c r="K2" s="172"/>
      <c r="L2" s="172"/>
      <c r="M2" s="172"/>
      <c r="N2" s="172"/>
      <c r="O2" s="172"/>
      <c r="P2" s="172"/>
      <c r="Q2" s="172"/>
      <c r="R2" s="174"/>
      <c r="S2" s="174"/>
      <c r="T2" s="174"/>
      <c r="U2" s="174"/>
      <c r="V2" s="174"/>
    </row>
    <row r="3" spans="1:27">
      <c r="A3" s="151" t="s">
        <v>276</v>
      </c>
      <c r="B3" s="33"/>
      <c r="C3" s="33"/>
      <c r="D3" s="33"/>
      <c r="E3" s="33"/>
      <c r="F3" s="33"/>
      <c r="G3" s="33"/>
      <c r="H3" s="33"/>
      <c r="I3" s="33"/>
      <c r="J3" s="33"/>
      <c r="K3" s="172"/>
      <c r="L3" s="172"/>
      <c r="M3" s="172"/>
      <c r="N3" s="172"/>
      <c r="O3" s="172"/>
      <c r="P3" s="172"/>
      <c r="Q3" s="172"/>
      <c r="R3" s="174"/>
      <c r="S3" s="174"/>
      <c r="T3" s="174"/>
      <c r="U3" s="174"/>
      <c r="V3" s="174"/>
    </row>
    <row r="4" spans="1:27">
      <c r="A4" s="33"/>
      <c r="B4" s="33"/>
      <c r="C4" s="33"/>
      <c r="D4" s="33"/>
      <c r="E4" s="33"/>
      <c r="F4" s="33"/>
      <c r="G4" s="33"/>
      <c r="H4" s="33"/>
      <c r="I4" s="33"/>
      <c r="J4" s="33"/>
      <c r="K4" s="172"/>
      <c r="L4" s="172"/>
      <c r="M4" s="172"/>
      <c r="N4" s="172"/>
      <c r="O4" s="172"/>
      <c r="P4" s="172"/>
      <c r="Q4" s="172"/>
      <c r="R4" s="174"/>
      <c r="S4" s="174"/>
      <c r="T4" s="174"/>
      <c r="U4" s="174"/>
      <c r="V4" s="174"/>
    </row>
    <row r="5" spans="1:27">
      <c r="A5" s="33"/>
      <c r="B5" s="33"/>
      <c r="C5" s="33"/>
      <c r="D5" s="33"/>
      <c r="E5" s="33"/>
      <c r="F5" s="33"/>
      <c r="G5" s="33"/>
      <c r="H5" s="33"/>
      <c r="I5" s="33"/>
      <c r="J5" s="33"/>
      <c r="K5" s="172"/>
      <c r="L5" s="172"/>
      <c r="M5" s="172"/>
      <c r="N5" s="172"/>
      <c r="O5" s="172"/>
      <c r="P5" s="172"/>
      <c r="Q5" s="172"/>
      <c r="R5" s="174"/>
      <c r="S5" s="174"/>
      <c r="T5" s="174"/>
      <c r="U5" s="174"/>
      <c r="V5" s="174"/>
    </row>
    <row r="6" spans="1:27" ht="28.8">
      <c r="A6" s="153" t="s">
        <v>235</v>
      </c>
      <c r="B6" s="33"/>
      <c r="C6" s="33"/>
      <c r="D6" s="33"/>
      <c r="E6" s="33"/>
      <c r="F6" s="33"/>
      <c r="G6" s="33"/>
      <c r="H6" s="33"/>
      <c r="I6" s="37"/>
      <c r="J6" s="33"/>
      <c r="K6" s="185"/>
      <c r="L6" s="172"/>
      <c r="M6" s="172"/>
      <c r="N6" s="172"/>
      <c r="O6" s="172"/>
      <c r="P6" s="172"/>
      <c r="Q6" s="172"/>
      <c r="R6" s="186" t="s">
        <v>2</v>
      </c>
      <c r="S6" s="174">
        <v>30.6</v>
      </c>
      <c r="T6" s="186" t="s">
        <v>2</v>
      </c>
      <c r="U6" s="174">
        <v>23</v>
      </c>
      <c r="V6" s="186" t="s">
        <v>2</v>
      </c>
      <c r="W6">
        <v>20.399999999999999</v>
      </c>
      <c r="X6" s="30" t="s">
        <v>2</v>
      </c>
      <c r="Y6">
        <v>15.3</v>
      </c>
      <c r="Z6" s="30" t="s">
        <v>2</v>
      </c>
      <c r="AA6">
        <v>12800</v>
      </c>
    </row>
    <row r="7" spans="1:27" ht="18">
      <c r="A7" s="152" t="s">
        <v>97</v>
      </c>
      <c r="B7" s="33"/>
      <c r="C7" s="33"/>
      <c r="D7" s="33"/>
      <c r="E7" s="33"/>
      <c r="F7" s="33"/>
      <c r="G7" s="33"/>
      <c r="H7" s="33"/>
      <c r="I7" s="37"/>
      <c r="J7" s="33"/>
      <c r="K7" s="185"/>
      <c r="L7" s="172"/>
      <c r="M7" s="172"/>
      <c r="N7" s="172"/>
      <c r="O7" s="172"/>
      <c r="P7" s="172"/>
      <c r="Q7" s="172"/>
      <c r="R7" s="186" t="s">
        <v>3</v>
      </c>
      <c r="S7" s="174">
        <v>30.6</v>
      </c>
      <c r="T7" s="186" t="s">
        <v>3</v>
      </c>
      <c r="U7" s="174">
        <v>30.6</v>
      </c>
      <c r="V7" s="186" t="s">
        <v>3</v>
      </c>
      <c r="W7">
        <v>20.399999999999999</v>
      </c>
      <c r="X7" s="30" t="s">
        <v>3</v>
      </c>
      <c r="Y7">
        <v>15.3</v>
      </c>
      <c r="Z7" s="30" t="s">
        <v>3</v>
      </c>
      <c r="AA7">
        <v>12800</v>
      </c>
    </row>
    <row r="8" spans="1:27">
      <c r="A8" s="38" t="s">
        <v>57</v>
      </c>
      <c r="B8" s="63">
        <v>342</v>
      </c>
      <c r="C8" s="38" t="s">
        <v>255</v>
      </c>
      <c r="D8" s="63">
        <v>130</v>
      </c>
      <c r="E8" s="38" t="s">
        <v>256</v>
      </c>
      <c r="F8" s="63">
        <v>3000</v>
      </c>
      <c r="G8" s="33"/>
      <c r="H8" s="33"/>
      <c r="I8" s="37"/>
      <c r="J8" s="33"/>
      <c r="K8" s="185"/>
      <c r="L8" s="172"/>
      <c r="M8" s="172"/>
      <c r="N8" s="172"/>
      <c r="O8" s="172"/>
      <c r="P8" s="172"/>
      <c r="Q8" s="172"/>
      <c r="R8" s="186" t="s">
        <v>4</v>
      </c>
      <c r="S8" s="174">
        <v>25.6</v>
      </c>
      <c r="T8" s="186" t="s">
        <v>4</v>
      </c>
      <c r="U8" s="174">
        <v>19.2</v>
      </c>
      <c r="V8" s="186" t="s">
        <v>4</v>
      </c>
      <c r="W8">
        <v>20.399999999999999</v>
      </c>
      <c r="X8" s="30" t="s">
        <v>4</v>
      </c>
      <c r="Y8">
        <v>15.3</v>
      </c>
      <c r="Z8" s="30" t="s">
        <v>4</v>
      </c>
      <c r="AA8">
        <v>12400</v>
      </c>
    </row>
    <row r="9" spans="1:27">
      <c r="A9" s="38" t="s">
        <v>118</v>
      </c>
      <c r="B9" s="63">
        <v>2000</v>
      </c>
      <c r="C9" s="41"/>
      <c r="D9" s="41"/>
      <c r="E9" s="41"/>
      <c r="F9" s="33"/>
      <c r="G9" s="33"/>
      <c r="H9" s="33"/>
      <c r="I9" s="37"/>
      <c r="J9" s="33"/>
      <c r="K9" s="185"/>
      <c r="L9" s="172"/>
      <c r="M9" s="172"/>
      <c r="N9" s="172"/>
      <c r="O9" s="172"/>
      <c r="P9" s="172"/>
      <c r="Q9" s="172"/>
      <c r="R9" s="186" t="s">
        <v>5</v>
      </c>
      <c r="S9" s="174">
        <v>25.6</v>
      </c>
      <c r="T9" s="186" t="s">
        <v>5</v>
      </c>
      <c r="U9" s="174">
        <v>25.6</v>
      </c>
      <c r="V9" s="186" t="s">
        <v>5</v>
      </c>
      <c r="W9">
        <v>20.399999999999999</v>
      </c>
      <c r="X9" s="30" t="s">
        <v>5</v>
      </c>
      <c r="Y9">
        <v>15.3</v>
      </c>
      <c r="Z9" s="30" t="s">
        <v>5</v>
      </c>
      <c r="AA9">
        <v>12400</v>
      </c>
    </row>
    <row r="10" spans="1:27">
      <c r="A10" s="38" t="s">
        <v>226</v>
      </c>
      <c r="B10" s="34" t="s">
        <v>275</v>
      </c>
      <c r="C10" s="33"/>
      <c r="D10" s="33"/>
      <c r="E10" s="33"/>
      <c r="F10" s="33"/>
      <c r="G10" s="33"/>
      <c r="H10" s="33"/>
      <c r="I10" s="33"/>
      <c r="J10" s="33"/>
      <c r="K10" s="185"/>
      <c r="L10" s="172"/>
      <c r="M10" s="172"/>
      <c r="N10" s="172"/>
      <c r="O10" s="172"/>
      <c r="P10" s="172"/>
      <c r="Q10" s="172"/>
      <c r="R10" s="186" t="s">
        <v>6</v>
      </c>
      <c r="S10" s="174">
        <v>24.3</v>
      </c>
      <c r="T10" s="186" t="s">
        <v>6</v>
      </c>
      <c r="U10" s="174">
        <v>24.3</v>
      </c>
      <c r="V10" s="186" t="s">
        <v>6</v>
      </c>
      <c r="W10">
        <v>23</v>
      </c>
      <c r="X10" s="30" t="s">
        <v>6</v>
      </c>
      <c r="Y10">
        <v>17.899999999999999</v>
      </c>
      <c r="Z10" s="30" t="s">
        <v>6</v>
      </c>
      <c r="AA10">
        <v>13800</v>
      </c>
    </row>
    <row r="11" spans="1:27" ht="18">
      <c r="A11" s="58" t="s">
        <v>98</v>
      </c>
      <c r="B11" s="33"/>
      <c r="C11" s="33"/>
      <c r="D11" s="33"/>
      <c r="E11" s="33"/>
      <c r="F11" s="33"/>
      <c r="G11" s="33"/>
      <c r="H11" s="33"/>
      <c r="I11" s="33"/>
      <c r="J11" s="33"/>
      <c r="K11" s="185"/>
      <c r="L11" s="172"/>
      <c r="M11" s="172"/>
      <c r="N11" s="172"/>
      <c r="O11" s="172"/>
      <c r="P11" s="172"/>
      <c r="Q11" s="172"/>
      <c r="R11" s="186" t="s">
        <v>7</v>
      </c>
      <c r="S11" s="174">
        <v>14</v>
      </c>
      <c r="T11" s="186" t="s">
        <v>7</v>
      </c>
      <c r="U11" s="174">
        <v>14</v>
      </c>
      <c r="V11" s="186" t="s">
        <v>7</v>
      </c>
      <c r="W11">
        <v>20.399999999999999</v>
      </c>
      <c r="X11" s="30" t="s">
        <v>7</v>
      </c>
      <c r="Y11">
        <v>15.3</v>
      </c>
      <c r="Z11" s="30" t="s">
        <v>7</v>
      </c>
      <c r="AA11">
        <v>12400</v>
      </c>
    </row>
    <row r="12" spans="1:27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172"/>
      <c r="L12" s="172"/>
      <c r="M12" s="172"/>
      <c r="N12" s="172"/>
      <c r="O12" s="172"/>
      <c r="P12" s="172"/>
      <c r="Q12" s="172"/>
      <c r="R12" s="174"/>
      <c r="S12" s="174"/>
      <c r="T12" s="174"/>
      <c r="U12" s="174"/>
      <c r="V12" s="174"/>
    </row>
    <row r="13" spans="1:27">
      <c r="A13" s="68" t="s">
        <v>85</v>
      </c>
      <c r="B13" s="191" t="s">
        <v>38</v>
      </c>
      <c r="C13" s="192"/>
      <c r="D13" s="193"/>
      <c r="E13" s="33"/>
      <c r="F13" s="33"/>
      <c r="G13" s="33"/>
      <c r="H13" s="33"/>
      <c r="I13" s="33"/>
      <c r="J13" s="33"/>
      <c r="K13" s="172"/>
      <c r="L13" s="172"/>
      <c r="M13" s="172"/>
      <c r="N13" s="172"/>
      <c r="O13" s="172"/>
      <c r="P13" s="172"/>
      <c r="Q13" s="172"/>
      <c r="R13" s="186" t="s">
        <v>4</v>
      </c>
      <c r="S13" s="174">
        <v>25.6</v>
      </c>
      <c r="T13" s="186" t="s">
        <v>4</v>
      </c>
      <c r="U13" s="174">
        <v>19.2</v>
      </c>
      <c r="V13" s="186" t="s">
        <v>4</v>
      </c>
      <c r="W13" s="32">
        <v>17</v>
      </c>
      <c r="X13" s="4" t="s">
        <v>4</v>
      </c>
      <c r="Y13">
        <v>12.7</v>
      </c>
      <c r="Z13" s="4" t="s">
        <v>4</v>
      </c>
      <c r="AA13">
        <v>10300</v>
      </c>
    </row>
    <row r="14" spans="1:27">
      <c r="A14" s="38" t="s">
        <v>82</v>
      </c>
      <c r="B14" s="39">
        <f>VLOOKUP(B13,R21:S27,2,FALSE)</f>
        <v>1</v>
      </c>
      <c r="C14" s="33"/>
      <c r="D14" s="33"/>
      <c r="E14" s="33"/>
      <c r="F14" s="33"/>
      <c r="G14" s="33"/>
      <c r="H14" s="33"/>
      <c r="I14" s="33"/>
      <c r="J14" s="33"/>
      <c r="K14" s="172"/>
      <c r="L14" s="172"/>
      <c r="M14" s="172"/>
      <c r="N14" s="172"/>
      <c r="O14" s="172"/>
      <c r="P14" s="172"/>
      <c r="Q14" s="172"/>
      <c r="R14" s="186" t="s">
        <v>5</v>
      </c>
      <c r="S14" s="174">
        <v>25.6</v>
      </c>
      <c r="T14" s="186" t="s">
        <v>5</v>
      </c>
      <c r="U14" s="174">
        <v>25.6</v>
      </c>
      <c r="V14" s="186" t="s">
        <v>5</v>
      </c>
      <c r="W14" s="32">
        <v>17</v>
      </c>
      <c r="X14" s="4" t="s">
        <v>5</v>
      </c>
      <c r="Y14">
        <v>12.7</v>
      </c>
      <c r="Z14" s="4" t="s">
        <v>5</v>
      </c>
      <c r="AA14">
        <v>10300</v>
      </c>
    </row>
    <row r="15" spans="1:27">
      <c r="A15" s="38" t="s">
        <v>83</v>
      </c>
      <c r="B15" s="39">
        <f>F8*B14</f>
        <v>3000</v>
      </c>
      <c r="C15" s="33"/>
      <c r="D15" s="33"/>
      <c r="E15" s="33"/>
      <c r="F15" s="33"/>
      <c r="G15" s="33"/>
      <c r="H15" s="33"/>
      <c r="I15" s="33"/>
      <c r="J15" s="33"/>
      <c r="K15" s="172"/>
      <c r="L15" s="172"/>
      <c r="M15" s="172"/>
      <c r="N15" s="172"/>
      <c r="O15" s="172"/>
      <c r="P15" s="172"/>
      <c r="Q15" s="172"/>
      <c r="R15" s="186" t="s">
        <v>73</v>
      </c>
      <c r="S15" s="174">
        <v>24.3</v>
      </c>
      <c r="T15" s="186" t="s">
        <v>73</v>
      </c>
      <c r="U15" s="174">
        <v>24.3</v>
      </c>
      <c r="V15" s="186" t="s">
        <v>73</v>
      </c>
      <c r="W15">
        <v>17.899999999999999</v>
      </c>
      <c r="X15" s="4" t="s">
        <v>73</v>
      </c>
      <c r="Y15">
        <v>13.4</v>
      </c>
      <c r="Z15" s="4" t="s">
        <v>73</v>
      </c>
      <c r="AA15">
        <v>10700</v>
      </c>
    </row>
    <row r="16" spans="1:27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172"/>
      <c r="L16" s="172"/>
      <c r="M16" s="172"/>
      <c r="N16" s="172"/>
      <c r="O16" s="172"/>
      <c r="P16" s="172"/>
      <c r="Q16" s="172"/>
      <c r="R16" s="186" t="s">
        <v>74</v>
      </c>
      <c r="S16" s="174">
        <v>9.8000000000000007</v>
      </c>
      <c r="T16" s="186" t="s">
        <v>74</v>
      </c>
      <c r="U16" s="174">
        <v>9.8000000000000007</v>
      </c>
      <c r="V16" s="186" t="s">
        <v>74</v>
      </c>
      <c r="W16" s="32">
        <v>17</v>
      </c>
      <c r="X16" s="4" t="s">
        <v>74</v>
      </c>
      <c r="Y16">
        <v>12.7</v>
      </c>
      <c r="Z16" s="4" t="s">
        <v>74</v>
      </c>
      <c r="AA16">
        <v>9700</v>
      </c>
    </row>
    <row r="17" spans="1:22">
      <c r="A17" s="69" t="s">
        <v>86</v>
      </c>
      <c r="B17" s="33"/>
      <c r="C17" s="33"/>
      <c r="D17" s="33"/>
      <c r="E17" s="33"/>
      <c r="F17" s="33"/>
      <c r="G17" s="33"/>
      <c r="H17" s="33"/>
      <c r="I17" s="33"/>
      <c r="J17" s="33"/>
      <c r="K17" s="172"/>
      <c r="L17" s="172"/>
      <c r="M17" s="172"/>
      <c r="N17" s="172"/>
      <c r="O17" s="172"/>
      <c r="P17" s="172"/>
      <c r="Q17" s="172"/>
      <c r="R17" s="174"/>
      <c r="S17" s="174"/>
      <c r="T17" s="174"/>
      <c r="U17" s="174"/>
      <c r="V17" s="174"/>
    </row>
    <row r="18" spans="1:22">
      <c r="A18" s="38" t="s">
        <v>87</v>
      </c>
      <c r="B18" s="191" t="s">
        <v>48</v>
      </c>
      <c r="C18" s="192"/>
      <c r="D18" s="193"/>
      <c r="E18" s="33"/>
      <c r="F18" s="33"/>
      <c r="G18" s="33"/>
      <c r="H18" s="33"/>
      <c r="I18" s="33"/>
      <c r="J18" s="33"/>
      <c r="K18" s="172"/>
      <c r="L18" s="172"/>
      <c r="M18" s="172"/>
      <c r="N18" s="172"/>
      <c r="O18" s="172"/>
      <c r="P18" s="172"/>
      <c r="Q18" s="172"/>
      <c r="R18" s="186" t="s">
        <v>58</v>
      </c>
      <c r="S18" s="187">
        <v>23</v>
      </c>
      <c r="T18" s="186" t="s">
        <v>58</v>
      </c>
      <c r="U18" s="174">
        <v>4.5999999999999996</v>
      </c>
      <c r="V18" s="174"/>
    </row>
    <row r="19" spans="1:22">
      <c r="A19" s="38" t="s">
        <v>83</v>
      </c>
      <c r="B19" s="33">
        <f>VLOOKUP(B18,R29:S33,2,FALSE)</f>
        <v>1.92</v>
      </c>
      <c r="C19" s="33" t="s">
        <v>88</v>
      </c>
      <c r="D19" s="33"/>
      <c r="E19" s="33"/>
      <c r="F19" s="33"/>
      <c r="G19" s="33"/>
      <c r="H19" s="33"/>
      <c r="I19" s="33"/>
      <c r="J19" s="33"/>
      <c r="K19" s="172"/>
      <c r="L19" s="172"/>
      <c r="M19" s="172"/>
      <c r="N19" s="172"/>
      <c r="O19" s="172"/>
      <c r="P19" s="172"/>
      <c r="Q19" s="172"/>
      <c r="R19" s="186" t="s">
        <v>76</v>
      </c>
      <c r="S19" s="174">
        <v>30.6</v>
      </c>
      <c r="T19" s="186" t="s">
        <v>76</v>
      </c>
      <c r="U19" s="187">
        <v>7</v>
      </c>
      <c r="V19" s="174"/>
    </row>
    <row r="20" spans="1:22">
      <c r="A20" s="38" t="s">
        <v>83</v>
      </c>
      <c r="B20" s="33">
        <f>B19*F8</f>
        <v>5760</v>
      </c>
      <c r="C20" s="33" t="s">
        <v>89</v>
      </c>
      <c r="D20" s="33"/>
      <c r="E20" s="33"/>
      <c r="F20" s="33"/>
      <c r="G20" s="33"/>
      <c r="H20" s="33"/>
      <c r="I20" s="33"/>
      <c r="J20" s="33"/>
      <c r="K20" s="172"/>
      <c r="L20" s="172"/>
      <c r="M20" s="172"/>
      <c r="N20" s="172"/>
      <c r="O20" s="172"/>
      <c r="P20" s="172"/>
      <c r="Q20" s="172"/>
      <c r="R20" s="174"/>
      <c r="S20" s="174"/>
      <c r="T20" s="174"/>
      <c r="U20" s="174"/>
      <c r="V20" s="174"/>
    </row>
    <row r="21" spans="1:22" ht="18">
      <c r="A21" s="59" t="s">
        <v>54</v>
      </c>
      <c r="B21" s="33"/>
      <c r="C21" s="33"/>
      <c r="D21" s="33"/>
      <c r="E21" s="33"/>
      <c r="F21" s="33"/>
      <c r="G21" s="33"/>
      <c r="H21" s="33"/>
      <c r="I21" s="37"/>
      <c r="J21" s="33"/>
      <c r="K21" s="172"/>
      <c r="L21" s="172"/>
      <c r="M21" s="172"/>
      <c r="N21" s="172"/>
      <c r="O21" s="172"/>
      <c r="P21" s="172"/>
      <c r="Q21" s="172"/>
      <c r="R21" s="174" t="s">
        <v>37</v>
      </c>
      <c r="S21" s="174">
        <v>0.65</v>
      </c>
      <c r="T21" s="174"/>
      <c r="U21" s="174"/>
      <c r="V21" s="174"/>
    </row>
    <row r="22" spans="1:22">
      <c r="A22" s="38" t="s">
        <v>56</v>
      </c>
      <c r="B22" s="33">
        <f>F8/B8</f>
        <v>8.7719298245614041</v>
      </c>
      <c r="C22" s="33" t="str">
        <f>IF(B22 &gt; 50,"✗ fails","✓ good")</f>
        <v>✓ good</v>
      </c>
      <c r="D22" s="38" t="s">
        <v>55</v>
      </c>
      <c r="E22" s="33">
        <f>F8/D8</f>
        <v>23.076923076923077</v>
      </c>
      <c r="F22" s="33" t="str">
        <f>IF(E22 &gt; 50,"✗ fails","✓ good")</f>
        <v>✓ good</v>
      </c>
      <c r="G22" s="33"/>
      <c r="H22" s="33"/>
      <c r="I22" s="37"/>
      <c r="J22" s="33"/>
      <c r="K22" s="172"/>
      <c r="L22" s="172"/>
      <c r="M22" s="172"/>
      <c r="N22" s="172"/>
      <c r="O22" s="172"/>
      <c r="P22" s="172"/>
      <c r="Q22" s="172"/>
      <c r="R22" s="174" t="s">
        <v>84</v>
      </c>
      <c r="S22" s="174">
        <v>1</v>
      </c>
      <c r="T22" s="174"/>
      <c r="U22" s="174"/>
      <c r="V22" s="174"/>
    </row>
    <row r="23" spans="1:22">
      <c r="A23" s="38"/>
      <c r="B23" s="33"/>
      <c r="C23" s="33"/>
      <c r="D23" s="42"/>
      <c r="E23" s="33"/>
      <c r="F23" s="33"/>
      <c r="G23" s="33"/>
      <c r="H23" s="33"/>
      <c r="I23" s="37"/>
      <c r="J23" s="33"/>
      <c r="K23" s="172"/>
      <c r="L23" s="172"/>
      <c r="M23" s="172"/>
      <c r="N23" s="172"/>
      <c r="O23" s="172"/>
      <c r="P23" s="172"/>
      <c r="Q23" s="172"/>
      <c r="R23" s="174" t="s">
        <v>36</v>
      </c>
      <c r="S23" s="174">
        <v>0.8</v>
      </c>
      <c r="T23" s="174"/>
      <c r="U23" s="174"/>
      <c r="V23" s="174"/>
    </row>
    <row r="24" spans="1:22" ht="18">
      <c r="A24" s="58" t="s">
        <v>96</v>
      </c>
      <c r="B24" s="33"/>
      <c r="C24" s="33"/>
      <c r="D24" s="33"/>
      <c r="E24" s="33"/>
      <c r="F24" s="33"/>
      <c r="G24" s="33"/>
      <c r="H24" s="33"/>
      <c r="I24" s="37"/>
      <c r="J24" s="33"/>
      <c r="K24" s="172"/>
      <c r="L24" s="172"/>
      <c r="M24" s="172"/>
      <c r="N24" s="172"/>
      <c r="O24" s="172"/>
      <c r="P24" s="172"/>
      <c r="Q24" s="172"/>
      <c r="R24" s="174" t="s">
        <v>38</v>
      </c>
      <c r="S24" s="174">
        <v>1</v>
      </c>
      <c r="T24" s="174"/>
      <c r="U24" s="174"/>
      <c r="V24" s="174"/>
    </row>
    <row r="25" spans="1:22">
      <c r="A25" s="43" t="s">
        <v>70</v>
      </c>
      <c r="B25" s="44" t="s">
        <v>69</v>
      </c>
      <c r="C25" s="45"/>
      <c r="D25" s="194" t="s">
        <v>68</v>
      </c>
      <c r="E25" s="195"/>
      <c r="F25" s="195"/>
      <c r="G25" s="44" t="s">
        <v>77</v>
      </c>
      <c r="H25" s="45"/>
      <c r="I25" s="45"/>
      <c r="J25" s="33"/>
      <c r="K25" s="172"/>
      <c r="L25" s="172"/>
      <c r="M25" s="188"/>
      <c r="N25" s="172"/>
      <c r="O25" s="172"/>
      <c r="P25" s="172"/>
      <c r="Q25" s="172"/>
      <c r="R25" s="174" t="s">
        <v>39</v>
      </c>
      <c r="S25" s="174">
        <v>1.2</v>
      </c>
      <c r="T25" s="174"/>
      <c r="U25" s="174"/>
      <c r="V25" s="174"/>
    </row>
    <row r="26" spans="1:22">
      <c r="A26" s="43" t="s">
        <v>71</v>
      </c>
      <c r="B26" s="34" t="s">
        <v>3</v>
      </c>
      <c r="C26" s="46"/>
      <c r="D26" s="70" t="s">
        <v>5</v>
      </c>
      <c r="E26" s="47"/>
      <c r="F26" s="47"/>
      <c r="G26" s="34" t="s">
        <v>76</v>
      </c>
      <c r="H26" s="47"/>
      <c r="I26" s="48"/>
      <c r="J26" s="33"/>
      <c r="K26" s="172"/>
      <c r="L26" s="172"/>
      <c r="M26" s="172"/>
      <c r="N26" s="172"/>
      <c r="O26" s="172"/>
      <c r="P26" s="172"/>
      <c r="Q26" s="172"/>
      <c r="R26" s="174" t="s">
        <v>40</v>
      </c>
      <c r="S26" s="174">
        <v>1.5</v>
      </c>
      <c r="T26" s="174"/>
      <c r="U26" s="174"/>
      <c r="V26" s="174"/>
    </row>
    <row r="27" spans="1:22">
      <c r="A27" s="43" t="s">
        <v>67</v>
      </c>
      <c r="B27" s="49">
        <f>VLOOKUP(B26,R6:S11,2,FALSE)</f>
        <v>30.6</v>
      </c>
      <c r="C27" s="50"/>
      <c r="D27" s="71">
        <f>VLOOKUP(D26,R13:S16,2,FALSE)</f>
        <v>25.6</v>
      </c>
      <c r="E27" s="50"/>
      <c r="F27" s="50"/>
      <c r="G27" s="40">
        <v>30.6</v>
      </c>
      <c r="H27" s="50"/>
      <c r="I27" s="51"/>
      <c r="J27" s="33"/>
      <c r="K27" s="172"/>
      <c r="L27" s="172"/>
      <c r="M27" s="172"/>
      <c r="N27" s="172"/>
      <c r="O27" s="172"/>
      <c r="P27" s="172"/>
      <c r="Q27" s="172"/>
      <c r="R27" s="189" t="s">
        <v>282</v>
      </c>
      <c r="S27" s="174">
        <v>2</v>
      </c>
      <c r="T27" s="174"/>
      <c r="U27" s="174"/>
      <c r="V27" s="174"/>
    </row>
    <row r="28" spans="1:22">
      <c r="A28" s="43" t="s">
        <v>66</v>
      </c>
      <c r="B28" s="49">
        <f>VLOOKUP(B26,T6:U11,2,FALSE)</f>
        <v>30.6</v>
      </c>
      <c r="C28" s="50"/>
      <c r="D28" s="71">
        <f>VLOOKUP(D26,T13:U16,2,FALSE)</f>
        <v>25.6</v>
      </c>
      <c r="E28" s="50"/>
      <c r="F28" s="50"/>
      <c r="G28" s="40">
        <f>VLOOKUP(G26,R18:S19,2,FALSE)</f>
        <v>30.6</v>
      </c>
      <c r="H28" s="50"/>
      <c r="I28" s="51"/>
      <c r="J28" s="33"/>
      <c r="K28" s="172"/>
      <c r="L28" s="172"/>
      <c r="M28" s="172"/>
      <c r="N28" s="172"/>
      <c r="O28" s="172"/>
      <c r="P28" s="172"/>
      <c r="Q28" s="172"/>
      <c r="R28" s="174"/>
      <c r="S28" s="174"/>
      <c r="T28" s="174"/>
      <c r="U28" s="174"/>
      <c r="V28" s="174"/>
    </row>
    <row r="29" spans="1:22">
      <c r="A29" s="38" t="s">
        <v>59</v>
      </c>
      <c r="B29" s="52">
        <v>2</v>
      </c>
      <c r="C29" s="50"/>
      <c r="D29" s="71">
        <v>1.75</v>
      </c>
      <c r="E29" s="50"/>
      <c r="F29" s="50"/>
      <c r="G29" s="40">
        <v>1.75</v>
      </c>
      <c r="H29" s="50"/>
      <c r="I29" s="51"/>
      <c r="J29" s="33"/>
      <c r="K29" s="172"/>
      <c r="L29" s="172"/>
      <c r="M29" s="172"/>
      <c r="N29" s="172"/>
      <c r="O29" s="172"/>
      <c r="P29" s="172"/>
      <c r="Q29" s="172"/>
      <c r="R29" s="174" t="s">
        <v>48</v>
      </c>
      <c r="S29" s="174">
        <v>1.92</v>
      </c>
      <c r="T29" s="174"/>
      <c r="U29" s="174"/>
      <c r="V29" s="174"/>
    </row>
    <row r="30" spans="1:22">
      <c r="A30" s="38" t="s">
        <v>60</v>
      </c>
      <c r="B30" s="49">
        <v>30.2</v>
      </c>
      <c r="C30" s="50"/>
      <c r="D30" s="71">
        <v>25.2</v>
      </c>
      <c r="E30" s="50"/>
      <c r="F30" s="50"/>
      <c r="G30" s="40" t="s">
        <v>80</v>
      </c>
      <c r="H30" s="50"/>
      <c r="I30" s="51"/>
      <c r="J30" s="33"/>
      <c r="K30" s="172"/>
      <c r="L30" s="172"/>
      <c r="M30" s="172"/>
      <c r="N30" s="172"/>
      <c r="O30" s="172"/>
      <c r="P30" s="172"/>
      <c r="Q30" s="172"/>
      <c r="R30" s="174" t="s">
        <v>47</v>
      </c>
      <c r="S30" s="174">
        <v>1.61</v>
      </c>
      <c r="T30" s="174"/>
      <c r="U30" s="174"/>
      <c r="V30" s="174"/>
    </row>
    <row r="31" spans="1:22">
      <c r="A31" s="38" t="s">
        <v>61</v>
      </c>
      <c r="B31" s="49">
        <v>30.2</v>
      </c>
      <c r="C31" s="50"/>
      <c r="D31" s="71">
        <v>25.2</v>
      </c>
      <c r="E31" s="50"/>
      <c r="F31" s="50"/>
      <c r="G31" s="84" t="s">
        <v>211</v>
      </c>
      <c r="H31" s="84"/>
      <c r="I31" s="85"/>
      <c r="J31" s="33"/>
      <c r="K31" s="172"/>
      <c r="L31" s="172"/>
      <c r="M31" s="172"/>
      <c r="N31" s="172"/>
      <c r="O31" s="172"/>
      <c r="P31" s="172"/>
      <c r="Q31" s="172"/>
      <c r="R31" s="174" t="s">
        <v>49</v>
      </c>
      <c r="S31" s="174">
        <v>1.92</v>
      </c>
      <c r="T31" s="174"/>
      <c r="U31" s="174"/>
      <c r="V31" s="174"/>
    </row>
    <row r="32" spans="1:22">
      <c r="A32" s="38" t="s">
        <v>78</v>
      </c>
      <c r="B32" s="52">
        <v>7</v>
      </c>
      <c r="C32" s="50"/>
      <c r="D32" s="71">
        <v>5.8</v>
      </c>
      <c r="E32" s="50"/>
      <c r="F32" s="50"/>
      <c r="G32" s="40">
        <f>VLOOKUP(G26,T18:U19,2,FALSE)</f>
        <v>7</v>
      </c>
      <c r="H32" s="50"/>
      <c r="I32" s="51"/>
      <c r="J32" s="33"/>
      <c r="K32" s="172"/>
      <c r="L32" s="172"/>
      <c r="M32" s="172"/>
      <c r="N32" s="172"/>
      <c r="O32" s="172"/>
      <c r="P32" s="172"/>
      <c r="Q32" s="172"/>
      <c r="R32" s="174" t="s">
        <v>50</v>
      </c>
      <c r="S32" s="174">
        <v>1.23</v>
      </c>
      <c r="T32" s="174"/>
      <c r="U32" s="174"/>
      <c r="V32" s="174"/>
    </row>
    <row r="33" spans="1:22">
      <c r="A33" s="38" t="s">
        <v>79</v>
      </c>
      <c r="B33" s="52">
        <v>7</v>
      </c>
      <c r="C33" s="50"/>
      <c r="D33" s="71">
        <v>5.8</v>
      </c>
      <c r="E33" s="50"/>
      <c r="F33" s="50"/>
      <c r="G33" s="53">
        <v>7</v>
      </c>
      <c r="H33" s="50"/>
      <c r="I33" s="51"/>
      <c r="J33" s="33"/>
      <c r="K33" s="172"/>
      <c r="L33" s="172"/>
      <c r="M33" s="172"/>
      <c r="N33" s="172"/>
      <c r="O33" s="172"/>
      <c r="P33" s="172"/>
      <c r="Q33" s="172"/>
      <c r="R33" s="174" t="s">
        <v>51</v>
      </c>
      <c r="S33" s="174">
        <v>1.69</v>
      </c>
      <c r="T33" s="174"/>
      <c r="U33" s="174"/>
      <c r="V33" s="174"/>
    </row>
    <row r="34" spans="1:22">
      <c r="A34" s="38" t="s">
        <v>62</v>
      </c>
      <c r="B34" s="49">
        <f>VLOOKUP(B26,V6:W11,2,FALSE)</f>
        <v>20.399999999999999</v>
      </c>
      <c r="C34" s="50"/>
      <c r="D34" s="71">
        <f>VLOOKUP(D26,V13:W16,2,FALSE)</f>
        <v>17</v>
      </c>
      <c r="E34" s="50"/>
      <c r="F34" s="50"/>
      <c r="G34" s="40">
        <v>20.399999999999999</v>
      </c>
      <c r="H34" s="50"/>
      <c r="I34" s="51"/>
      <c r="J34" s="33"/>
      <c r="K34" s="172"/>
      <c r="L34" s="172"/>
      <c r="M34" s="172"/>
      <c r="N34" s="172"/>
      <c r="O34" s="172"/>
      <c r="P34" s="172"/>
      <c r="Q34" s="172"/>
      <c r="R34" s="174"/>
      <c r="S34" s="174"/>
      <c r="T34" s="174"/>
      <c r="U34" s="174"/>
      <c r="V34" s="174"/>
    </row>
    <row r="35" spans="1:22">
      <c r="A35" s="38" t="s">
        <v>63</v>
      </c>
      <c r="B35" s="49">
        <f>VLOOKUP(B26,X6:Y11,2,FALSE)</f>
        <v>15.3</v>
      </c>
      <c r="C35" s="50"/>
      <c r="D35" s="71">
        <f>VLOOKUP(D26,X13:Y16,2,FALSE)</f>
        <v>12.7</v>
      </c>
      <c r="E35" s="50"/>
      <c r="F35" s="50"/>
      <c r="G35" s="40">
        <v>15.3</v>
      </c>
      <c r="H35" s="50"/>
      <c r="I35" s="51"/>
      <c r="J35" s="33"/>
      <c r="K35" s="172"/>
      <c r="L35" s="172"/>
      <c r="M35" s="172"/>
      <c r="N35" s="172"/>
      <c r="O35" s="172"/>
      <c r="P35" s="172"/>
      <c r="Q35" s="172"/>
      <c r="R35" s="174"/>
      <c r="S35" s="174"/>
      <c r="T35" s="174"/>
      <c r="U35" s="174"/>
      <c r="V35" s="174"/>
    </row>
    <row r="36" spans="1:22">
      <c r="A36" s="38" t="s">
        <v>64</v>
      </c>
      <c r="B36" s="49">
        <v>0.83</v>
      </c>
      <c r="C36" s="50"/>
      <c r="D36" s="71">
        <v>0.51</v>
      </c>
      <c r="E36" s="50"/>
      <c r="F36" s="50"/>
      <c r="G36" s="40">
        <v>0.83</v>
      </c>
      <c r="H36" s="50"/>
      <c r="I36" s="51"/>
      <c r="J36" s="33"/>
      <c r="K36" s="172"/>
      <c r="L36" s="172"/>
      <c r="M36" s="172"/>
      <c r="N36" s="172"/>
      <c r="O36" s="172"/>
      <c r="P36" s="172"/>
      <c r="Q36" s="172"/>
      <c r="R36" s="174" t="s">
        <v>100</v>
      </c>
      <c r="S36" s="190">
        <v>1</v>
      </c>
      <c r="T36" s="174"/>
      <c r="U36" s="174"/>
      <c r="V36" s="174"/>
    </row>
    <row r="37" spans="1:22">
      <c r="A37" s="38" t="s">
        <v>65</v>
      </c>
      <c r="B37" s="54">
        <f>VLOOKUP(B26,Z6:AA11,2,FALSE)</f>
        <v>12800</v>
      </c>
      <c r="C37" s="55"/>
      <c r="D37" s="72">
        <f>VLOOKUP(D26,Z13:AA16,2,FALSE)</f>
        <v>10300</v>
      </c>
      <c r="E37" s="55"/>
      <c r="F37" s="55"/>
      <c r="G37" s="56">
        <v>13100</v>
      </c>
      <c r="H37" s="55"/>
      <c r="I37" s="57"/>
      <c r="J37" s="33"/>
      <c r="K37" s="172"/>
      <c r="L37" s="172"/>
      <c r="M37" s="172"/>
      <c r="N37" s="172"/>
      <c r="O37" s="172"/>
      <c r="P37" s="172"/>
      <c r="Q37" s="172"/>
      <c r="R37" s="174" t="s">
        <v>25</v>
      </c>
      <c r="S37" s="174">
        <v>0.8</v>
      </c>
      <c r="T37" s="174"/>
      <c r="U37" s="174"/>
      <c r="V37" s="174"/>
    </row>
    <row r="38" spans="1:2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172"/>
      <c r="L38" s="172"/>
      <c r="M38" s="172"/>
      <c r="N38" s="172"/>
      <c r="O38" s="172"/>
      <c r="P38" s="172"/>
      <c r="Q38" s="172"/>
      <c r="R38" s="174" t="s">
        <v>100</v>
      </c>
      <c r="S38" s="190">
        <v>1</v>
      </c>
      <c r="T38" s="174"/>
      <c r="U38" s="174"/>
      <c r="V38" s="174"/>
    </row>
    <row r="39" spans="1:22" ht="18">
      <c r="A39" s="61" t="s">
        <v>99</v>
      </c>
      <c r="B39" s="33"/>
      <c r="C39" s="50"/>
      <c r="D39" s="60"/>
      <c r="E39" s="60"/>
      <c r="F39" s="33"/>
      <c r="G39" s="33"/>
      <c r="H39" s="33"/>
      <c r="I39" s="33"/>
      <c r="J39" s="33"/>
      <c r="K39" s="172"/>
      <c r="L39" s="172"/>
      <c r="M39" s="172"/>
      <c r="N39" s="172"/>
      <c r="O39" s="172"/>
      <c r="P39" s="172"/>
      <c r="Q39" s="172"/>
      <c r="R39" s="174" t="s">
        <v>25</v>
      </c>
      <c r="S39" s="174">
        <v>0.87</v>
      </c>
      <c r="T39" s="174"/>
      <c r="U39" s="174"/>
      <c r="V39" s="174"/>
    </row>
    <row r="40" spans="1:22">
      <c r="A40" s="33"/>
      <c r="B40" s="33"/>
      <c r="C40" s="50"/>
      <c r="D40" s="33"/>
      <c r="E40" s="33"/>
      <c r="F40" s="33"/>
      <c r="G40" s="33"/>
      <c r="H40" s="33"/>
      <c r="I40" s="33"/>
      <c r="J40" s="33"/>
      <c r="K40" s="172"/>
      <c r="L40" s="172"/>
      <c r="M40" s="172"/>
      <c r="N40" s="172"/>
      <c r="O40" s="172"/>
      <c r="P40" s="172"/>
      <c r="Q40" s="172"/>
      <c r="R40" s="174" t="s">
        <v>100</v>
      </c>
      <c r="S40" s="174">
        <v>1</v>
      </c>
      <c r="T40" s="174"/>
      <c r="U40" s="174"/>
      <c r="V40" s="174"/>
    </row>
    <row r="41" spans="1:22">
      <c r="A41" s="43" t="s">
        <v>101</v>
      </c>
      <c r="B41" s="34" t="s">
        <v>25</v>
      </c>
      <c r="C41" s="50"/>
      <c r="D41" s="33"/>
      <c r="E41" s="33"/>
      <c r="F41" s="33"/>
      <c r="G41" s="33"/>
      <c r="H41" s="33"/>
      <c r="I41" s="33"/>
      <c r="J41" s="33"/>
      <c r="K41" s="172"/>
      <c r="L41" s="172"/>
      <c r="M41" s="172"/>
      <c r="N41" s="172"/>
      <c r="O41" s="172"/>
      <c r="P41" s="172"/>
      <c r="Q41" s="172"/>
      <c r="R41" s="174" t="s">
        <v>25</v>
      </c>
      <c r="S41" s="174">
        <v>0.75</v>
      </c>
      <c r="T41" s="174"/>
      <c r="U41" s="174"/>
      <c r="V41" s="174"/>
    </row>
    <row r="42" spans="1:22">
      <c r="A42" s="62" t="s">
        <v>102</v>
      </c>
      <c r="B42" s="65">
        <f>VLOOKUP(B41,R36:S37,2,FALSE)</f>
        <v>0.8</v>
      </c>
      <c r="C42" s="50"/>
      <c r="D42" s="33"/>
      <c r="E42" s="33"/>
      <c r="F42" s="33"/>
      <c r="G42" s="33"/>
      <c r="H42" s="33"/>
      <c r="I42" s="33"/>
      <c r="J42" s="33"/>
      <c r="K42" s="172"/>
      <c r="L42" s="172"/>
      <c r="M42" s="172"/>
      <c r="N42" s="172"/>
      <c r="O42" s="172"/>
      <c r="P42" s="172"/>
      <c r="Q42" s="172"/>
      <c r="R42" s="174" t="s">
        <v>100</v>
      </c>
      <c r="S42" s="174">
        <v>1</v>
      </c>
      <c r="T42" s="174"/>
      <c r="U42" s="174"/>
      <c r="V42" s="174"/>
    </row>
    <row r="43" spans="1:22">
      <c r="A43" s="62" t="s">
        <v>103</v>
      </c>
      <c r="B43" s="65">
        <f>VLOOKUP(B41,R38:S39,2,FALSE)</f>
        <v>0.87</v>
      </c>
      <c r="C43" s="50"/>
      <c r="D43" s="33"/>
      <c r="E43" s="33"/>
      <c r="F43" s="33"/>
      <c r="G43" s="33"/>
      <c r="H43" s="33"/>
      <c r="I43" s="33"/>
      <c r="J43" s="33"/>
      <c r="K43" s="172"/>
      <c r="L43" s="172"/>
      <c r="M43" s="172"/>
      <c r="N43" s="172"/>
      <c r="O43" s="172"/>
      <c r="P43" s="172"/>
      <c r="Q43" s="172"/>
      <c r="R43" s="174" t="s">
        <v>25</v>
      </c>
      <c r="S43" s="174">
        <v>0.67</v>
      </c>
      <c r="T43" s="174"/>
      <c r="U43" s="174"/>
      <c r="V43" s="174"/>
    </row>
    <row r="44" spans="1:22">
      <c r="A44" s="62" t="s">
        <v>104</v>
      </c>
      <c r="B44" s="65">
        <f>VLOOKUP(B41,R40:S41,2,FALSE)</f>
        <v>0.75</v>
      </c>
      <c r="C44" s="50"/>
      <c r="D44" s="33"/>
      <c r="E44" s="33"/>
      <c r="F44" s="33"/>
      <c r="G44" s="33"/>
      <c r="H44" s="33"/>
      <c r="I44" s="33"/>
      <c r="J44" s="33"/>
      <c r="K44" s="172"/>
      <c r="L44" s="172"/>
      <c r="M44" s="172"/>
      <c r="N44" s="172"/>
      <c r="O44" s="172"/>
      <c r="P44" s="172"/>
      <c r="Q44" s="172"/>
      <c r="R44" s="174" t="s">
        <v>100</v>
      </c>
      <c r="S44" s="174">
        <v>1</v>
      </c>
      <c r="T44" s="174"/>
      <c r="U44" s="174"/>
      <c r="V44" s="174"/>
    </row>
    <row r="45" spans="1:22">
      <c r="A45" s="62" t="s">
        <v>105</v>
      </c>
      <c r="B45" s="65">
        <f>VLOOKUP(B41,R42:S43,2,FALSE)</f>
        <v>0.67</v>
      </c>
      <c r="C45" s="50"/>
      <c r="D45" s="33"/>
      <c r="E45" s="33"/>
      <c r="F45" s="33"/>
      <c r="G45" s="33"/>
      <c r="H45" s="33"/>
      <c r="I45" s="33"/>
      <c r="J45" s="33"/>
      <c r="K45" s="172"/>
      <c r="L45" s="172"/>
      <c r="M45" s="172"/>
      <c r="N45" s="172"/>
      <c r="O45" s="172"/>
      <c r="P45" s="172"/>
      <c r="Q45" s="172"/>
      <c r="R45" s="174" t="s">
        <v>25</v>
      </c>
      <c r="S45" s="174">
        <v>0.75</v>
      </c>
      <c r="T45" s="174"/>
      <c r="U45" s="174"/>
      <c r="V45" s="174"/>
    </row>
    <row r="46" spans="1:22">
      <c r="A46" s="62" t="s">
        <v>106</v>
      </c>
      <c r="B46" s="65">
        <f>VLOOKUP(B41,R44:S45,2,FALSE)</f>
        <v>0.75</v>
      </c>
      <c r="C46" s="50"/>
      <c r="D46" s="33"/>
      <c r="E46" s="33"/>
      <c r="F46" s="33"/>
      <c r="G46" s="33"/>
      <c r="H46" s="33"/>
      <c r="I46" s="33"/>
      <c r="J46" s="33"/>
      <c r="K46" s="172"/>
      <c r="L46" s="172"/>
      <c r="M46" s="172"/>
      <c r="N46" s="172"/>
      <c r="O46" s="172"/>
      <c r="P46" s="172"/>
      <c r="Q46" s="172"/>
      <c r="R46" s="174" t="s">
        <v>100</v>
      </c>
      <c r="S46" s="174">
        <v>1</v>
      </c>
      <c r="T46" s="174"/>
      <c r="U46" s="174"/>
      <c r="V46" s="174"/>
    </row>
    <row r="47" spans="1:22">
      <c r="A47" s="62" t="s">
        <v>107</v>
      </c>
      <c r="B47" s="65">
        <f>VLOOKUP(B41,R46:S47,2,FALSE)</f>
        <v>0.85</v>
      </c>
      <c r="C47" s="33"/>
      <c r="D47" s="33"/>
      <c r="E47" s="33"/>
      <c r="F47" s="33"/>
      <c r="G47" s="33"/>
      <c r="H47" s="33"/>
      <c r="I47" s="33"/>
      <c r="J47" s="33"/>
      <c r="K47" s="172"/>
      <c r="L47" s="172"/>
      <c r="M47" s="172"/>
      <c r="N47" s="172"/>
      <c r="O47" s="172"/>
      <c r="P47" s="172"/>
      <c r="Q47" s="172"/>
      <c r="R47" s="174" t="s">
        <v>25</v>
      </c>
      <c r="S47" s="174">
        <v>0.85</v>
      </c>
      <c r="T47" s="174"/>
      <c r="U47" s="174"/>
      <c r="V47" s="174"/>
    </row>
    <row r="48" spans="1:22">
      <c r="A48" s="62" t="s">
        <v>108</v>
      </c>
      <c r="B48" s="65">
        <f>VLOOKUP(B41,R48:S49,2,FALSE)</f>
        <v>0.9</v>
      </c>
      <c r="C48" s="33"/>
      <c r="D48" s="33"/>
      <c r="E48" s="33"/>
      <c r="F48" s="33"/>
      <c r="G48" s="33"/>
      <c r="H48" s="33"/>
      <c r="I48" s="33"/>
      <c r="J48" s="33"/>
      <c r="K48" s="172"/>
      <c r="L48" s="172"/>
      <c r="M48" s="172"/>
      <c r="N48" s="172"/>
      <c r="O48" s="172"/>
      <c r="P48" s="172"/>
      <c r="Q48" s="172"/>
      <c r="R48" s="174" t="s">
        <v>100</v>
      </c>
      <c r="S48" s="174">
        <v>1</v>
      </c>
      <c r="T48" s="174"/>
      <c r="U48" s="174"/>
      <c r="V48" s="174"/>
    </row>
    <row r="49" spans="1:2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172"/>
      <c r="L49" s="172"/>
      <c r="M49" s="172"/>
      <c r="N49" s="172"/>
      <c r="O49" s="172"/>
      <c r="P49" s="172"/>
      <c r="Q49" s="172"/>
      <c r="R49" s="174" t="s">
        <v>25</v>
      </c>
      <c r="S49" s="174">
        <v>0.9</v>
      </c>
      <c r="T49" s="174"/>
      <c r="U49" s="174"/>
      <c r="V49" s="174"/>
    </row>
    <row r="50" spans="1:22">
      <c r="A50" s="166" t="s">
        <v>259</v>
      </c>
      <c r="B50" s="167" t="s">
        <v>257</v>
      </c>
      <c r="C50" s="33"/>
      <c r="D50" s="33"/>
      <c r="E50" s="33"/>
      <c r="F50" s="33"/>
      <c r="G50" s="33"/>
      <c r="H50" s="33"/>
      <c r="I50" s="33"/>
      <c r="J50" s="33"/>
      <c r="K50" s="172"/>
      <c r="L50" s="172"/>
      <c r="M50" s="172"/>
      <c r="N50" s="172"/>
      <c r="O50" s="172"/>
      <c r="P50" s="172"/>
      <c r="Q50" s="172"/>
      <c r="R50" s="174"/>
      <c r="S50" s="174"/>
      <c r="T50" s="174"/>
      <c r="U50" s="174"/>
      <c r="V50" s="174"/>
    </row>
    <row r="51" spans="1:22">
      <c r="A51" s="38" t="s">
        <v>109</v>
      </c>
      <c r="B51" s="64">
        <f>VLOOKUP(B50,R61:S62,2,FALSE)</f>
        <v>1</v>
      </c>
      <c r="C51" s="33"/>
      <c r="D51" s="33"/>
      <c r="E51" s="33"/>
      <c r="F51" s="33"/>
      <c r="G51" s="33"/>
      <c r="H51" s="33"/>
      <c r="I51" s="33"/>
      <c r="J51" s="33"/>
      <c r="K51" s="172"/>
      <c r="L51" s="172"/>
      <c r="M51" s="172"/>
      <c r="N51" s="172"/>
      <c r="O51" s="172"/>
      <c r="P51" s="172"/>
      <c r="Q51" s="172"/>
      <c r="R51" s="174" t="s">
        <v>223</v>
      </c>
      <c r="S51" s="174">
        <f>((5*B65*F8^4))/((384*B37*B48*B52)*((1/12)*D8*B8^3))</f>
        <v>2.1126662541379218</v>
      </c>
      <c r="T51" s="174" t="s">
        <v>223</v>
      </c>
      <c r="U51" s="174">
        <f>((5*B65*F8^4))/((384*D37*B48*B52)*((1/12)*D8*B8^3))</f>
        <v>2.6254493255306213</v>
      </c>
      <c r="V51" s="174"/>
    </row>
    <row r="52" spans="1:22">
      <c r="A52" s="38" t="s">
        <v>110</v>
      </c>
      <c r="B52" s="64">
        <v>1</v>
      </c>
      <c r="C52" s="33"/>
      <c r="D52" s="33"/>
      <c r="E52" s="33"/>
      <c r="F52" s="33"/>
      <c r="G52" s="33"/>
      <c r="H52" s="33"/>
      <c r="I52" s="33"/>
      <c r="J52" s="33"/>
      <c r="K52" s="172"/>
      <c r="L52" s="172"/>
      <c r="M52" s="172"/>
      <c r="N52" s="172"/>
      <c r="O52" s="172"/>
      <c r="P52" s="172"/>
      <c r="Q52" s="172"/>
      <c r="R52" s="174" t="s">
        <v>221</v>
      </c>
      <c r="S52" s="174">
        <f>((1*B65*F8^4))/((185*B37*B48*B52)*((1/12)*D8*B8^3))</f>
        <v>0.87704199090698587</v>
      </c>
      <c r="T52" s="174" t="s">
        <v>221</v>
      </c>
      <c r="U52" s="174">
        <f>((1*B65*F8^4))/((185*D37*B48*B52)*((1/12)*D8*B8^3))</f>
        <v>1.089916260544604</v>
      </c>
      <c r="V52" s="174"/>
    </row>
    <row r="53" spans="1:2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172"/>
      <c r="L53" s="172"/>
      <c r="M53" s="172"/>
      <c r="N53" s="172"/>
      <c r="O53" s="172"/>
      <c r="P53" s="172"/>
      <c r="Q53" s="172"/>
      <c r="R53" s="174"/>
      <c r="S53" s="174"/>
      <c r="T53" s="174"/>
      <c r="U53" s="174"/>
      <c r="V53" s="174"/>
    </row>
    <row r="54" spans="1:22" ht="18">
      <c r="A54" s="58" t="s">
        <v>111</v>
      </c>
      <c r="B54" s="33"/>
      <c r="C54" s="33"/>
      <c r="D54" s="33"/>
      <c r="E54" s="33"/>
      <c r="F54" s="33"/>
      <c r="G54" s="33"/>
      <c r="H54" s="33"/>
      <c r="I54" s="33"/>
      <c r="J54" s="33"/>
      <c r="K54" s="172"/>
      <c r="L54" s="172"/>
      <c r="M54" s="172"/>
      <c r="N54" s="172"/>
      <c r="O54" s="172"/>
      <c r="P54" s="172"/>
      <c r="Q54" s="172"/>
      <c r="R54" s="174"/>
      <c r="S54" s="174"/>
      <c r="T54" s="174"/>
      <c r="U54" s="174"/>
      <c r="V54" s="174"/>
    </row>
    <row r="55" spans="1:2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172"/>
      <c r="L55" s="172"/>
      <c r="M55" s="172"/>
      <c r="N55" s="172"/>
      <c r="O55" s="172"/>
      <c r="P55" s="172"/>
      <c r="Q55" s="172"/>
      <c r="R55" s="174" t="s">
        <v>227</v>
      </c>
      <c r="S55" s="174">
        <f>((1*B65*F8^4))/((8*B37*B48*B52)*((1/12)*D8*B8^3))</f>
        <v>20.28159603972405</v>
      </c>
      <c r="T55" s="174" t="s">
        <v>227</v>
      </c>
      <c r="U55" s="174">
        <f>((1*B65*F8^4))/((8*D37*B48*B52)*((1/12)*D8*B8^3))</f>
        <v>25.204313525093966</v>
      </c>
      <c r="V55" s="174"/>
    </row>
    <row r="56" spans="1:22">
      <c r="A56" s="43" t="s">
        <v>91</v>
      </c>
      <c r="B56" s="63">
        <v>10</v>
      </c>
      <c r="C56" s="39" t="s">
        <v>90</v>
      </c>
      <c r="D56" s="33"/>
      <c r="E56" s="33"/>
      <c r="F56" s="33"/>
      <c r="G56" s="33"/>
      <c r="H56" s="33"/>
      <c r="I56" s="33"/>
      <c r="J56" s="33"/>
      <c r="K56" s="172"/>
      <c r="L56" s="172"/>
      <c r="M56" s="172"/>
      <c r="N56" s="172"/>
      <c r="O56" s="172"/>
      <c r="P56" s="172"/>
      <c r="Q56" s="172"/>
      <c r="R56" s="174" t="s">
        <v>275</v>
      </c>
      <c r="S56" s="174">
        <f>((5*B65*F8^4))/((384*B37*B48*B52)*((1/12)*D8*B8^3))</f>
        <v>2.1126662541379218</v>
      </c>
      <c r="T56" s="174" t="s">
        <v>275</v>
      </c>
      <c r="U56" s="174">
        <f>((5*B65*F8^4))/((384*D37*B48*B52)*((1/12)*D8*B8^3))</f>
        <v>2.6254493255306213</v>
      </c>
      <c r="V56" s="174"/>
    </row>
    <row r="57" spans="1:22">
      <c r="A57" s="38"/>
      <c r="B57" s="40"/>
      <c r="C57" s="33"/>
      <c r="D57" s="33"/>
      <c r="E57" s="33"/>
      <c r="F57" s="33"/>
      <c r="G57" s="33"/>
      <c r="H57" s="33"/>
      <c r="I57" s="33"/>
      <c r="J57" s="33"/>
      <c r="K57" s="172"/>
      <c r="L57" s="172"/>
      <c r="M57" s="172"/>
      <c r="N57" s="172"/>
      <c r="O57" s="172"/>
      <c r="P57" s="172"/>
      <c r="Q57" s="172"/>
      <c r="R57" s="174" t="s">
        <v>228</v>
      </c>
      <c r="S57" s="174">
        <f>((1*B65*F8^4))/((185*B37*B48*B52)*((1/12)*D8*B8^3))</f>
        <v>0.87704199090698587</v>
      </c>
      <c r="T57" s="174" t="s">
        <v>228</v>
      </c>
      <c r="U57" s="174">
        <f>((1*B65*F8^4))/((185*D37*B48*B52)*((1/12)*D8*B8^3))</f>
        <v>1.089916260544604</v>
      </c>
      <c r="V57" s="174"/>
    </row>
    <row r="58" spans="1:22">
      <c r="A58" s="43" t="s">
        <v>92</v>
      </c>
      <c r="B58" s="63">
        <v>20</v>
      </c>
      <c r="C58" s="39" t="s">
        <v>90</v>
      </c>
      <c r="D58" s="33"/>
      <c r="E58" s="33"/>
      <c r="F58" s="33"/>
      <c r="G58" s="33"/>
      <c r="H58" s="33"/>
      <c r="I58" s="33"/>
      <c r="J58" s="33"/>
      <c r="K58" s="172"/>
      <c r="L58" s="172"/>
      <c r="M58" s="172"/>
      <c r="N58" s="172"/>
      <c r="O58" s="172"/>
      <c r="P58" s="172"/>
      <c r="Q58" s="172"/>
      <c r="R58" s="174" t="s">
        <v>229</v>
      </c>
      <c r="S58" s="174">
        <f>((1*B65*F8^4))/((384*B37*B48*B52)*((1/12)*D8*B8^3))</f>
        <v>0.42253325082758436</v>
      </c>
      <c r="T58" s="174" t="s">
        <v>229</v>
      </c>
      <c r="U58" s="174">
        <f>((1*B65*F8^4))/((384*D37*B48*B52)*((1/12)*D8*B8^3))</f>
        <v>0.52508986510612432</v>
      </c>
      <c r="V58" s="174"/>
    </row>
    <row r="59" spans="1:22">
      <c r="A59" s="43" t="s">
        <v>93</v>
      </c>
      <c r="B59" s="63"/>
      <c r="C59" s="39" t="s">
        <v>90</v>
      </c>
      <c r="D59" s="33"/>
      <c r="E59" s="33"/>
      <c r="F59" s="33"/>
      <c r="G59" s="33"/>
      <c r="H59" s="33"/>
      <c r="I59" s="33"/>
      <c r="J59" s="33"/>
      <c r="K59" s="172"/>
      <c r="L59" s="172"/>
      <c r="M59" s="172"/>
      <c r="N59" s="172"/>
      <c r="O59" s="172"/>
      <c r="P59" s="172"/>
      <c r="Q59" s="172"/>
      <c r="R59" s="174"/>
      <c r="S59" s="174"/>
      <c r="T59" s="174"/>
      <c r="U59" s="174"/>
      <c r="V59" s="174"/>
    </row>
    <row r="60" spans="1:22">
      <c r="A60" s="43" t="s">
        <v>94</v>
      </c>
      <c r="B60" s="63">
        <v>-15</v>
      </c>
      <c r="C60" s="39" t="s">
        <v>90</v>
      </c>
      <c r="D60" s="39"/>
      <c r="E60" s="33"/>
      <c r="F60" s="33"/>
      <c r="G60" s="33"/>
      <c r="H60" s="33"/>
      <c r="I60" s="33"/>
      <c r="J60" s="33"/>
      <c r="K60" s="172"/>
      <c r="L60" s="172"/>
      <c r="M60" s="172"/>
      <c r="N60" s="172"/>
      <c r="O60" s="172"/>
      <c r="P60" s="172"/>
      <c r="Q60" s="172"/>
      <c r="R60" s="174"/>
      <c r="S60" s="174"/>
      <c r="T60" s="174"/>
      <c r="U60" s="174"/>
      <c r="V60" s="174"/>
    </row>
    <row r="61" spans="1:22">
      <c r="A61" s="144" t="s">
        <v>116</v>
      </c>
      <c r="B61" s="63">
        <v>5</v>
      </c>
      <c r="C61" s="33" t="s">
        <v>117</v>
      </c>
      <c r="D61" s="33"/>
      <c r="E61" s="33"/>
      <c r="F61" s="33"/>
      <c r="G61" s="33"/>
      <c r="H61" s="33"/>
      <c r="I61" s="33"/>
      <c r="J61" s="33"/>
      <c r="K61" s="172"/>
      <c r="L61" s="172"/>
      <c r="M61" s="172"/>
      <c r="N61" s="172"/>
      <c r="O61" s="172"/>
      <c r="P61" s="172"/>
      <c r="Q61" s="172"/>
      <c r="R61" s="174" t="s">
        <v>257</v>
      </c>
      <c r="S61" s="174">
        <v>1</v>
      </c>
      <c r="T61" s="174"/>
      <c r="U61" s="174"/>
      <c r="V61" s="174"/>
    </row>
    <row r="62" spans="1:22">
      <c r="A62" s="33"/>
      <c r="B62" s="43"/>
      <c r="C62" s="39"/>
      <c r="D62" s="33"/>
      <c r="E62" s="33"/>
      <c r="F62" s="33"/>
      <c r="G62" s="33"/>
      <c r="H62" s="33"/>
      <c r="I62" s="33"/>
      <c r="J62" s="33"/>
      <c r="K62" s="172"/>
      <c r="L62" s="172"/>
      <c r="M62" s="172"/>
      <c r="N62" s="172"/>
      <c r="O62" s="172"/>
      <c r="P62" s="172"/>
      <c r="Q62" s="172"/>
      <c r="R62" s="174" t="s">
        <v>258</v>
      </c>
      <c r="S62" s="174">
        <v>1.1000000000000001</v>
      </c>
      <c r="T62" s="174"/>
      <c r="U62" s="174"/>
      <c r="V62" s="174"/>
    </row>
    <row r="63" spans="1:22">
      <c r="A63" s="43" t="s">
        <v>95</v>
      </c>
      <c r="B63" s="63"/>
      <c r="C63" s="39" t="s">
        <v>90</v>
      </c>
      <c r="D63" s="33"/>
      <c r="E63" s="33"/>
      <c r="F63" s="33"/>
      <c r="G63" s="33"/>
      <c r="H63" s="33"/>
      <c r="I63" s="33"/>
      <c r="J63" s="33"/>
      <c r="K63" s="172"/>
      <c r="L63" s="172"/>
      <c r="M63" s="172"/>
      <c r="N63" s="172"/>
      <c r="O63" s="172"/>
      <c r="P63" s="172"/>
      <c r="Q63" s="172"/>
      <c r="R63" s="174"/>
      <c r="S63" s="174"/>
      <c r="T63" s="174"/>
      <c r="U63" s="174"/>
      <c r="V63" s="174"/>
    </row>
    <row r="64" spans="1:2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172"/>
      <c r="L64" s="172"/>
      <c r="M64" s="172"/>
      <c r="N64" s="172"/>
      <c r="O64" s="172"/>
      <c r="P64" s="172"/>
      <c r="Q64" s="172"/>
      <c r="R64" s="174"/>
      <c r="S64" s="174"/>
      <c r="T64" s="174"/>
      <c r="U64" s="174"/>
      <c r="V64" s="174"/>
    </row>
    <row r="65" spans="1:32">
      <c r="A65" s="43" t="s">
        <v>121</v>
      </c>
      <c r="B65" s="65">
        <f>(B61*B9)/1000</f>
        <v>10</v>
      </c>
      <c r="C65" s="33" t="s">
        <v>120</v>
      </c>
      <c r="D65" s="33"/>
      <c r="E65" s="33"/>
      <c r="F65" s="33"/>
      <c r="G65" s="33"/>
      <c r="H65" s="33"/>
      <c r="I65" s="33"/>
      <c r="J65" s="33"/>
      <c r="K65" s="172"/>
      <c r="L65" s="172"/>
      <c r="M65" s="172"/>
      <c r="N65" s="172"/>
      <c r="O65" s="172"/>
      <c r="P65" s="172"/>
      <c r="Q65" s="172"/>
      <c r="R65" s="174"/>
      <c r="S65" s="174"/>
      <c r="T65" s="174"/>
      <c r="U65" s="174"/>
      <c r="V65" s="174"/>
    </row>
    <row r="66" spans="1:3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172"/>
      <c r="L66" s="172"/>
      <c r="M66" s="172"/>
      <c r="N66" s="172"/>
      <c r="O66" s="172"/>
      <c r="P66" s="172"/>
      <c r="Q66" s="172"/>
      <c r="R66" s="174"/>
      <c r="S66" s="174"/>
      <c r="T66" s="174"/>
      <c r="U66" s="174"/>
      <c r="V66" s="174"/>
    </row>
    <row r="67" spans="1:3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172"/>
      <c r="L67" s="172"/>
      <c r="M67" s="172"/>
      <c r="N67" s="172"/>
      <c r="O67" s="172"/>
      <c r="P67" s="172"/>
      <c r="Q67" s="172"/>
      <c r="R67" s="174"/>
      <c r="S67" s="174"/>
      <c r="T67" s="174"/>
      <c r="U67" s="174"/>
      <c r="V67" s="174"/>
    </row>
    <row r="68" spans="1:3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172"/>
      <c r="L68" s="172"/>
      <c r="M68" s="172"/>
      <c r="N68" s="172"/>
      <c r="O68" s="172"/>
      <c r="P68" s="172"/>
      <c r="Q68" s="172"/>
      <c r="R68" s="174"/>
      <c r="S68" s="174"/>
      <c r="T68" s="174"/>
      <c r="U68" s="174"/>
      <c r="V68" s="174"/>
    </row>
    <row r="69" spans="1:3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172"/>
      <c r="L69" s="172"/>
      <c r="M69" s="172"/>
      <c r="N69" s="172"/>
      <c r="O69" s="172"/>
      <c r="P69" s="172"/>
      <c r="Q69" s="172"/>
      <c r="R69" s="174"/>
      <c r="S69" s="174"/>
      <c r="T69" s="174"/>
      <c r="U69" s="174"/>
      <c r="V69" s="174"/>
    </row>
    <row r="70" spans="1:32" ht="28.8">
      <c r="A70" s="154" t="s">
        <v>236</v>
      </c>
      <c r="B70" s="33"/>
      <c r="C70" s="33"/>
      <c r="D70" s="33"/>
      <c r="E70" s="33"/>
      <c r="F70" s="33"/>
      <c r="G70" s="33"/>
      <c r="H70" s="33"/>
      <c r="I70" s="33"/>
      <c r="J70" s="33"/>
      <c r="K70" s="172"/>
      <c r="L70" s="172"/>
      <c r="M70" s="172"/>
      <c r="N70" s="172"/>
      <c r="O70" s="172"/>
      <c r="P70" s="172"/>
      <c r="Q70" s="172"/>
      <c r="R70" s="174"/>
      <c r="S70" s="174"/>
      <c r="T70" s="174"/>
      <c r="U70" s="174"/>
      <c r="V70" s="174"/>
    </row>
    <row r="71" spans="1:32" ht="21">
      <c r="A71" s="161" t="s">
        <v>237</v>
      </c>
      <c r="B71" s="33"/>
      <c r="C71" s="33"/>
      <c r="D71" s="33"/>
      <c r="E71" s="33"/>
      <c r="F71" s="33"/>
      <c r="G71" s="33"/>
      <c r="H71" s="33"/>
      <c r="I71" s="33"/>
      <c r="J71" s="33"/>
      <c r="K71" s="172"/>
      <c r="L71" s="172"/>
      <c r="M71" s="172"/>
      <c r="N71" s="172"/>
      <c r="O71" s="172"/>
      <c r="P71" s="172"/>
      <c r="Q71" s="172"/>
      <c r="R71" s="174"/>
      <c r="S71" s="174"/>
      <c r="T71" s="174"/>
      <c r="U71" s="174"/>
      <c r="V71" s="174"/>
    </row>
    <row r="72" spans="1:32">
      <c r="A72" s="156" t="s">
        <v>238</v>
      </c>
      <c r="B72" s="33"/>
      <c r="C72" s="33"/>
      <c r="D72" s="33"/>
      <c r="E72" s="33"/>
      <c r="F72" s="33"/>
      <c r="G72" s="33"/>
      <c r="H72" s="33"/>
      <c r="I72" s="33"/>
      <c r="J72" s="33"/>
      <c r="K72" s="172"/>
      <c r="L72" s="172"/>
      <c r="M72" s="172"/>
      <c r="N72" s="172"/>
      <c r="O72" s="172"/>
      <c r="P72" s="172"/>
      <c r="Q72" s="172"/>
      <c r="R72" s="174"/>
      <c r="S72" s="174"/>
      <c r="T72" s="174"/>
      <c r="U72" s="174"/>
      <c r="V72" s="174"/>
    </row>
    <row r="73" spans="1:32">
      <c r="A73" s="135" t="s">
        <v>245</v>
      </c>
      <c r="B73" s="50">
        <f>B158</f>
        <v>317.83564518273056</v>
      </c>
      <c r="C73" s="151" t="s">
        <v>90</v>
      </c>
      <c r="D73" s="33" t="str">
        <f>C158</f>
        <v>✓ ok</v>
      </c>
      <c r="E73" s="33"/>
      <c r="F73" s="33"/>
      <c r="G73" s="33"/>
      <c r="H73" s="33"/>
      <c r="I73" s="33"/>
      <c r="J73" s="33"/>
      <c r="K73" s="172"/>
      <c r="L73" s="172"/>
      <c r="M73" s="172"/>
      <c r="N73" s="172"/>
      <c r="O73" s="172"/>
      <c r="P73" s="172"/>
      <c r="Q73" s="172"/>
      <c r="R73" s="174"/>
      <c r="S73" s="174"/>
      <c r="T73" s="174"/>
      <c r="U73" s="174"/>
      <c r="V73" s="174"/>
    </row>
    <row r="74" spans="1:32">
      <c r="A74" s="136" t="s">
        <v>246</v>
      </c>
      <c r="B74" s="50">
        <f>B159</f>
        <v>418.43967391926964</v>
      </c>
      <c r="C74" s="151" t="s">
        <v>90</v>
      </c>
      <c r="D74" s="33" t="str">
        <f>C159</f>
        <v>✓ ok</v>
      </c>
      <c r="E74" s="33" t="str">
        <f>IF(B74 &lt;S125,"✗","✓ ")</f>
        <v xml:space="preserve">✓ </v>
      </c>
      <c r="F74" s="33"/>
      <c r="G74" s="33"/>
      <c r="H74" s="33"/>
      <c r="I74" s="33"/>
      <c r="J74" s="33"/>
      <c r="K74" s="172"/>
      <c r="L74" s="172"/>
      <c r="M74" s="172"/>
      <c r="N74" s="172"/>
      <c r="O74" s="172"/>
      <c r="P74" s="172"/>
      <c r="Q74" s="172"/>
      <c r="R74" s="174"/>
      <c r="S74" s="174"/>
      <c r="T74" s="174"/>
      <c r="U74" s="174"/>
      <c r="V74" s="174"/>
    </row>
    <row r="75" spans="1:32">
      <c r="A75" s="136" t="s">
        <v>247</v>
      </c>
      <c r="B75" s="33">
        <f>B160</f>
        <v>453.18765470622526</v>
      </c>
      <c r="C75" s="151" t="s">
        <v>90</v>
      </c>
      <c r="D75" s="33" t="str">
        <f>C160</f>
        <v>✓ ok</v>
      </c>
      <c r="E75" s="33" t="str">
        <f>IF(B75 &lt;S126,"✗","✓ ")</f>
        <v xml:space="preserve">✓ </v>
      </c>
      <c r="F75" s="33" t="str">
        <f>IF(B75 &lt;S129,"✗","✓ ")</f>
        <v xml:space="preserve">✓ </v>
      </c>
      <c r="G75" s="33"/>
      <c r="H75" s="33"/>
      <c r="I75" s="33"/>
      <c r="J75" s="33"/>
      <c r="K75" s="172"/>
      <c r="L75" s="172"/>
      <c r="M75" s="172"/>
      <c r="N75" s="172"/>
      <c r="O75" s="172"/>
      <c r="P75" s="172"/>
      <c r="Q75" s="172"/>
      <c r="R75" s="174"/>
      <c r="S75" s="174"/>
      <c r="T75" s="174"/>
      <c r="U75" s="174"/>
      <c r="V75" s="174"/>
    </row>
    <row r="76" spans="1:32">
      <c r="A76" s="156" t="s">
        <v>248</v>
      </c>
      <c r="B76" s="33"/>
      <c r="C76" s="33"/>
      <c r="D76" s="33"/>
      <c r="E76" s="33"/>
      <c r="F76" s="33"/>
      <c r="G76" s="33"/>
      <c r="H76" s="33"/>
      <c r="I76" s="33"/>
      <c r="J76" s="33"/>
      <c r="K76" s="172"/>
      <c r="L76" s="172"/>
      <c r="M76" s="172"/>
      <c r="N76" s="172"/>
      <c r="O76" s="172"/>
      <c r="P76" s="172"/>
      <c r="Q76" s="172"/>
      <c r="R76" s="174"/>
      <c r="S76" s="174"/>
      <c r="T76" s="174"/>
      <c r="U76" s="174"/>
      <c r="V76" s="174"/>
    </row>
    <row r="77" spans="1:32">
      <c r="A77" s="38" t="s">
        <v>249</v>
      </c>
      <c r="B77" s="33">
        <f>IF(B60&gt;0,0, IF(B60&lt;0,B219, IF(B60&gt;1, 0)))</f>
        <v>528.03474750000009</v>
      </c>
      <c r="C77" s="173">
        <f>B219</f>
        <v>528.03474750000009</v>
      </c>
      <c r="D77" s="33" t="str">
        <f>D219</f>
        <v>✓ ok</v>
      </c>
      <c r="E77" s="33"/>
      <c r="F77" s="33"/>
      <c r="G77" s="33"/>
      <c r="H77" s="33"/>
      <c r="I77" s="33"/>
      <c r="J77" s="33"/>
      <c r="K77" s="172"/>
      <c r="L77" s="172"/>
      <c r="M77" s="172"/>
      <c r="N77" s="172"/>
      <c r="O77" s="172"/>
      <c r="P77" s="172"/>
      <c r="Q77" s="172"/>
      <c r="R77" s="174"/>
      <c r="S77" s="174"/>
      <c r="T77" s="174"/>
      <c r="U77" s="174"/>
      <c r="V77" s="174"/>
    </row>
    <row r="78" spans="1:3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172"/>
      <c r="L78" s="172"/>
      <c r="M78" s="172"/>
      <c r="N78" s="172"/>
      <c r="O78" s="172"/>
      <c r="P78" s="172"/>
      <c r="Q78" s="172"/>
      <c r="R78" s="174" t="s">
        <v>227</v>
      </c>
      <c r="S78" s="174">
        <f>(D129*F8)/1000</f>
        <v>12</v>
      </c>
      <c r="T78" s="174" t="s">
        <v>227</v>
      </c>
      <c r="U78" s="174">
        <f>((D129*(F8^2))/2)/1000000</f>
        <v>18</v>
      </c>
      <c r="V78" s="174"/>
    </row>
    <row r="79" spans="1:32">
      <c r="A79" s="157" t="s">
        <v>239</v>
      </c>
      <c r="B79" s="33"/>
      <c r="C79" s="33"/>
      <c r="D79" s="33"/>
      <c r="E79" s="33"/>
      <c r="F79" s="33"/>
      <c r="G79" s="33"/>
      <c r="H79" s="33"/>
      <c r="I79" s="33"/>
      <c r="J79" s="33"/>
      <c r="K79" s="172"/>
      <c r="L79" s="172"/>
      <c r="M79" s="172"/>
      <c r="N79" s="172"/>
      <c r="O79" s="172"/>
      <c r="P79" s="172"/>
      <c r="Q79" s="100"/>
      <c r="R79" s="100" t="s">
        <v>275</v>
      </c>
      <c r="S79" s="100">
        <f>((D129*F8)/2)/1000</f>
        <v>6</v>
      </c>
      <c r="T79" s="100" t="s">
        <v>275</v>
      </c>
      <c r="U79" s="100">
        <f>((D129*(F8^2))/8)/1000000</f>
        <v>4.5</v>
      </c>
      <c r="V79" s="100"/>
      <c r="W79" s="171"/>
      <c r="X79" s="88"/>
      <c r="Y79" s="88"/>
      <c r="Z79" s="88"/>
      <c r="AA79" s="88"/>
      <c r="AB79" s="88"/>
      <c r="AC79" s="88"/>
      <c r="AD79" s="88"/>
      <c r="AE79" s="88"/>
      <c r="AF79" s="88"/>
    </row>
    <row r="80" spans="1:32">
      <c r="A80" s="136" t="s">
        <v>240</v>
      </c>
      <c r="B80" s="33">
        <f>B184</f>
        <v>62.363293162190921</v>
      </c>
      <c r="C80" s="151" t="s">
        <v>193</v>
      </c>
      <c r="D80" s="33" t="str">
        <f>C184</f>
        <v>✓ ok</v>
      </c>
      <c r="E80" s="33"/>
      <c r="F80" s="33"/>
      <c r="G80" s="33"/>
      <c r="H80" s="33"/>
      <c r="I80" s="33"/>
      <c r="J80" s="33"/>
      <c r="K80" s="172"/>
      <c r="L80" s="172"/>
      <c r="M80" s="172"/>
      <c r="N80" s="172"/>
      <c r="O80" s="172"/>
      <c r="P80" s="172"/>
      <c r="Q80" s="172"/>
      <c r="R80" s="174" t="s">
        <v>228</v>
      </c>
      <c r="S80" s="174">
        <f>(3*D129*F8)/(8*1000)</f>
        <v>4.5</v>
      </c>
      <c r="T80" s="174" t="s">
        <v>228</v>
      </c>
      <c r="U80" s="174">
        <f>((D129*(F8^2))/8)/1000000</f>
        <v>4.5</v>
      </c>
      <c r="V80" s="174"/>
    </row>
    <row r="81" spans="1:34">
      <c r="A81" s="136"/>
      <c r="B81" s="33"/>
      <c r="C81" s="33"/>
      <c r="D81" s="33"/>
      <c r="E81" s="33"/>
      <c r="F81" s="33"/>
      <c r="G81" s="33"/>
      <c r="H81" s="33"/>
      <c r="I81" s="33"/>
      <c r="J81" s="33"/>
      <c r="K81" s="172"/>
      <c r="L81" s="172"/>
      <c r="M81" s="172"/>
      <c r="N81" s="172"/>
      <c r="O81" s="172"/>
      <c r="P81" s="172"/>
      <c r="Q81" s="172"/>
      <c r="R81" s="174" t="s">
        <v>229</v>
      </c>
      <c r="S81" s="174">
        <f>(D129*F8)/(2*1000)</f>
        <v>6</v>
      </c>
      <c r="T81" s="174" t="s">
        <v>229</v>
      </c>
      <c r="U81" s="174">
        <f>((D129*(F8^2))/12)/1000000</f>
        <v>3</v>
      </c>
      <c r="V81" s="174"/>
    </row>
    <row r="82" spans="1:34">
      <c r="A82" s="155" t="s">
        <v>241</v>
      </c>
      <c r="B82" s="33"/>
      <c r="C82" s="33"/>
      <c r="D82" s="33"/>
      <c r="E82" s="33"/>
      <c r="F82" s="33"/>
      <c r="G82" s="33"/>
      <c r="H82" s="33"/>
      <c r="I82" s="33"/>
      <c r="J82" s="33"/>
      <c r="K82" s="172"/>
      <c r="L82" s="172"/>
      <c r="M82" s="172"/>
      <c r="N82" s="172"/>
      <c r="O82" s="172"/>
      <c r="P82" s="172"/>
      <c r="Q82" s="172"/>
      <c r="R82" s="174"/>
      <c r="S82" s="174"/>
      <c r="T82" s="174"/>
      <c r="U82" s="174"/>
      <c r="V82" s="174"/>
    </row>
    <row r="83" spans="1:34">
      <c r="A83" s="158" t="s">
        <v>242</v>
      </c>
      <c r="B83" s="33" t="str">
        <f>C208</f>
        <v>✓ ok</v>
      </c>
      <c r="C83" s="33"/>
      <c r="D83" s="33"/>
      <c r="E83" s="33"/>
      <c r="F83" s="33"/>
      <c r="G83" s="33"/>
      <c r="H83" s="33"/>
      <c r="I83" s="33"/>
      <c r="J83" s="33"/>
      <c r="K83" s="172"/>
      <c r="L83" s="172"/>
      <c r="M83" s="172"/>
      <c r="N83" s="172"/>
      <c r="O83" s="172"/>
      <c r="P83" s="172"/>
      <c r="Q83" s="172"/>
      <c r="R83" s="174"/>
      <c r="S83" s="174"/>
      <c r="T83" s="174"/>
      <c r="U83" s="174"/>
      <c r="V83" s="174"/>
    </row>
    <row r="84" spans="1:34">
      <c r="A84" s="159" t="s">
        <v>243</v>
      </c>
      <c r="B84" s="33" t="str">
        <f>C209</f>
        <v>✓ ok</v>
      </c>
      <c r="C84" s="33"/>
      <c r="D84" s="33"/>
      <c r="E84" s="33"/>
      <c r="F84" s="33"/>
      <c r="G84" s="33"/>
      <c r="H84" s="33"/>
      <c r="I84" s="33"/>
      <c r="J84" s="33"/>
      <c r="K84" s="172"/>
      <c r="L84" s="172"/>
      <c r="M84" s="172"/>
      <c r="N84" s="172"/>
      <c r="O84" s="172"/>
      <c r="P84" s="172"/>
      <c r="Q84" s="172"/>
      <c r="R84" s="174"/>
      <c r="S84" s="174"/>
      <c r="T84" s="174"/>
      <c r="U84" s="174"/>
      <c r="V84" s="174"/>
    </row>
    <row r="85" spans="1:34">
      <c r="A85" s="160" t="s">
        <v>243</v>
      </c>
      <c r="B85" s="33" t="str">
        <f>C210</f>
        <v>✓ ok</v>
      </c>
      <c r="C85" s="33"/>
      <c r="D85" s="33"/>
      <c r="E85" s="33"/>
      <c r="F85" s="33"/>
      <c r="G85" s="33"/>
      <c r="H85" s="33"/>
      <c r="I85" s="33"/>
      <c r="J85" s="172"/>
      <c r="K85" s="172"/>
      <c r="L85" s="172"/>
      <c r="M85" s="172"/>
      <c r="N85" s="172"/>
      <c r="O85" s="172"/>
      <c r="P85" s="172"/>
      <c r="Q85" s="172"/>
      <c r="R85" s="174" t="s">
        <v>227</v>
      </c>
      <c r="S85" s="174">
        <f>(D136*F8)/1000</f>
        <v>12</v>
      </c>
      <c r="T85" s="174" t="s">
        <v>227</v>
      </c>
      <c r="U85" s="174">
        <f>((D136*(F8^2))/2)/1000000</f>
        <v>18</v>
      </c>
      <c r="V85" s="174"/>
      <c r="W85" s="175"/>
      <c r="X85" s="175"/>
    </row>
    <row r="86" spans="1:34">
      <c r="A86" s="158" t="s">
        <v>244</v>
      </c>
      <c r="B86" s="33" t="str">
        <f>C221</f>
        <v>✓ ok</v>
      </c>
      <c r="C86" s="33"/>
      <c r="D86" s="33"/>
      <c r="E86" s="33"/>
      <c r="F86" s="33"/>
      <c r="G86" s="33"/>
      <c r="H86" s="33"/>
      <c r="I86" s="33"/>
      <c r="J86" s="172"/>
      <c r="K86" s="172"/>
      <c r="L86" s="172"/>
      <c r="M86" s="172"/>
      <c r="N86" s="172"/>
      <c r="O86" s="172"/>
      <c r="P86" s="172"/>
      <c r="Q86" s="176"/>
      <c r="R86" s="100" t="s">
        <v>275</v>
      </c>
      <c r="S86" s="100">
        <f>((D136*F8)/2)/1000</f>
        <v>6</v>
      </c>
      <c r="T86" s="100" t="s">
        <v>275</v>
      </c>
      <c r="U86" s="100">
        <f>((D136*(F8^2))/8)/1000000</f>
        <v>4.5</v>
      </c>
      <c r="V86" s="100"/>
      <c r="W86" s="177"/>
      <c r="X86" s="178"/>
      <c r="Y86" s="89"/>
      <c r="Z86" s="89"/>
      <c r="AA86" s="89"/>
    </row>
    <row r="87" spans="1:34">
      <c r="A87" s="33"/>
      <c r="B87" s="33"/>
      <c r="C87" s="33"/>
      <c r="D87" s="33"/>
      <c r="E87" s="33"/>
      <c r="F87" s="33"/>
      <c r="G87" s="33"/>
      <c r="H87" s="33"/>
      <c r="I87" s="33"/>
      <c r="J87" s="172"/>
      <c r="K87" s="172"/>
      <c r="L87" s="172"/>
      <c r="M87" s="172"/>
      <c r="N87" s="172"/>
      <c r="O87" s="172"/>
      <c r="P87" s="172"/>
      <c r="Q87" s="172"/>
      <c r="R87" s="174" t="s">
        <v>228</v>
      </c>
      <c r="S87" s="174">
        <f>(3*D136*F8)/(8*1000)</f>
        <v>4.5</v>
      </c>
      <c r="T87" s="174" t="s">
        <v>228</v>
      </c>
      <c r="U87" s="174">
        <f>((D136*(F8^2))/8)/1000000</f>
        <v>4.5</v>
      </c>
      <c r="V87" s="174"/>
      <c r="W87" s="175"/>
      <c r="X87" s="175"/>
    </row>
    <row r="88" spans="1:34">
      <c r="A88" s="155" t="s">
        <v>250</v>
      </c>
      <c r="B88" s="33"/>
      <c r="C88" s="33"/>
      <c r="D88" s="33"/>
      <c r="E88" s="33"/>
      <c r="F88" s="33"/>
      <c r="G88" s="33"/>
      <c r="H88" s="33"/>
      <c r="I88" s="33"/>
      <c r="J88" s="172"/>
      <c r="K88" s="172"/>
      <c r="L88" s="172"/>
      <c r="M88" s="172"/>
      <c r="N88" s="172"/>
      <c r="O88" s="172"/>
      <c r="P88" s="172"/>
      <c r="Q88" s="172"/>
      <c r="R88" s="174" t="s">
        <v>229</v>
      </c>
      <c r="S88" s="174">
        <f>(D136*F8)/(2*1000)</f>
        <v>6</v>
      </c>
      <c r="T88" s="174" t="s">
        <v>229</v>
      </c>
      <c r="U88" s="174">
        <f>((D136*(F8^2))/12)/1000000</f>
        <v>3</v>
      </c>
      <c r="V88" s="174"/>
      <c r="W88" s="175"/>
      <c r="X88" s="175"/>
    </row>
    <row r="89" spans="1:34">
      <c r="A89" s="73" t="s">
        <v>215</v>
      </c>
      <c r="B89" s="33">
        <f>B229</f>
        <v>53.378675999999992</v>
      </c>
      <c r="C89" s="151" t="s">
        <v>90</v>
      </c>
      <c r="D89" s="33" t="str">
        <f>B231</f>
        <v>✓ ok</v>
      </c>
      <c r="E89" s="33"/>
      <c r="F89" s="33"/>
      <c r="G89" s="33"/>
      <c r="H89" s="33"/>
      <c r="I89" s="33"/>
      <c r="J89" s="172"/>
      <c r="K89" s="172"/>
      <c r="L89" s="172"/>
      <c r="M89" s="172"/>
      <c r="N89" s="172"/>
      <c r="O89" s="172"/>
      <c r="P89" s="172"/>
      <c r="Q89" s="172"/>
      <c r="R89" s="174"/>
      <c r="S89" s="174"/>
      <c r="T89" s="174"/>
      <c r="U89" s="174"/>
      <c r="V89" s="174"/>
      <c r="W89" s="175"/>
      <c r="X89" s="175"/>
    </row>
    <row r="90" spans="1:34">
      <c r="A90" s="155" t="s">
        <v>251</v>
      </c>
      <c r="B90" s="33"/>
      <c r="C90" s="33"/>
      <c r="D90" s="33"/>
      <c r="E90" s="33"/>
      <c r="F90" s="33"/>
      <c r="G90" s="33"/>
      <c r="H90" s="33"/>
      <c r="I90" s="33"/>
      <c r="J90" s="172"/>
      <c r="K90" s="172"/>
      <c r="L90" s="172"/>
      <c r="M90" s="172"/>
      <c r="N90" s="172"/>
      <c r="O90" s="172"/>
      <c r="P90" s="172"/>
      <c r="Q90" s="172"/>
      <c r="R90" s="174"/>
      <c r="S90" s="174"/>
      <c r="T90" s="174"/>
      <c r="U90" s="174"/>
      <c r="V90" s="174"/>
      <c r="W90" s="175"/>
      <c r="X90" s="175"/>
    </row>
    <row r="91" spans="1:34">
      <c r="A91" s="33"/>
      <c r="B91" s="33"/>
      <c r="C91" s="33"/>
      <c r="D91" s="33"/>
      <c r="E91" s="33"/>
      <c r="F91" s="33"/>
      <c r="G91" s="33"/>
      <c r="H91" s="33"/>
      <c r="I91" s="33"/>
      <c r="J91" s="172"/>
      <c r="K91" s="172"/>
      <c r="L91" s="172"/>
      <c r="M91" s="172"/>
      <c r="N91" s="172"/>
      <c r="O91" s="172"/>
      <c r="P91" s="172"/>
      <c r="Q91" s="172"/>
      <c r="R91" s="174"/>
      <c r="S91" s="174"/>
      <c r="T91" s="174"/>
      <c r="U91" s="174"/>
      <c r="V91" s="174"/>
      <c r="W91" s="175"/>
      <c r="X91" s="175"/>
    </row>
    <row r="92" spans="1:34">
      <c r="A92" s="73" t="s">
        <v>252</v>
      </c>
      <c r="B92" s="33" t="str">
        <f>B238</f>
        <v>✓ ok</v>
      </c>
      <c r="C92" s="33"/>
      <c r="D92" s="33"/>
      <c r="E92" s="33"/>
      <c r="F92" s="33"/>
      <c r="G92" s="33"/>
      <c r="H92" s="33"/>
      <c r="I92" s="33"/>
      <c r="J92" s="172"/>
      <c r="K92" s="172"/>
      <c r="L92" s="172"/>
      <c r="M92" s="172"/>
      <c r="N92" s="172"/>
      <c r="O92" s="172"/>
      <c r="P92" s="172"/>
      <c r="Q92" s="172"/>
      <c r="R92" s="174" t="s">
        <v>227</v>
      </c>
      <c r="S92" s="174">
        <f>(D143*F8)/1000</f>
        <v>42</v>
      </c>
      <c r="T92" s="174" t="s">
        <v>227</v>
      </c>
      <c r="U92" s="174">
        <f>((D143*(F8^2))/2)/1000000</f>
        <v>63</v>
      </c>
      <c r="V92" s="174"/>
      <c r="W92" s="175"/>
      <c r="X92" s="175"/>
    </row>
    <row r="93" spans="1:34">
      <c r="A93" s="33"/>
      <c r="B93" s="33"/>
      <c r="C93" s="33"/>
      <c r="D93" s="33"/>
      <c r="E93" s="33"/>
      <c r="F93" s="33"/>
      <c r="G93" s="33"/>
      <c r="H93" s="33"/>
      <c r="I93" s="33"/>
      <c r="J93" s="172"/>
      <c r="K93" s="172"/>
      <c r="L93" s="172"/>
      <c r="M93" s="172"/>
      <c r="N93" s="172"/>
      <c r="O93" s="172"/>
      <c r="P93" s="172"/>
      <c r="Q93" s="176"/>
      <c r="R93" s="100" t="s">
        <v>275</v>
      </c>
      <c r="S93" s="100">
        <f>((D143*F8)/2)/1000</f>
        <v>21</v>
      </c>
      <c r="T93" s="100" t="s">
        <v>275</v>
      </c>
      <c r="U93" s="100">
        <f>((D143*(F8^2))/8)/1000000</f>
        <v>15.75</v>
      </c>
      <c r="V93" s="100"/>
      <c r="W93" s="177"/>
      <c r="X93" s="178"/>
      <c r="Y93" s="89"/>
      <c r="Z93" s="89"/>
      <c r="AA93" s="89"/>
      <c r="AB93" s="89"/>
      <c r="AC93" s="89"/>
      <c r="AD93" s="89"/>
      <c r="AE93" s="89"/>
      <c r="AF93" s="89"/>
      <c r="AG93" s="89"/>
      <c r="AH93" s="89"/>
    </row>
    <row r="94" spans="1:34" ht="21">
      <c r="A94" s="162" t="s">
        <v>253</v>
      </c>
      <c r="B94" s="33"/>
      <c r="C94" s="33"/>
      <c r="D94" s="33"/>
      <c r="E94" s="33"/>
      <c r="F94" s="33"/>
      <c r="G94" s="33"/>
      <c r="H94" s="33"/>
      <c r="I94" s="33"/>
      <c r="J94" s="172"/>
      <c r="K94" s="172"/>
      <c r="L94" s="172"/>
      <c r="M94" s="172"/>
      <c r="N94" s="172"/>
      <c r="O94" s="172"/>
      <c r="P94" s="172"/>
      <c r="Q94" s="172"/>
      <c r="R94" s="174" t="s">
        <v>228</v>
      </c>
      <c r="S94" s="174">
        <f>(3*D143*F8)/(8*1000)</f>
        <v>15.75</v>
      </c>
      <c r="T94" s="174" t="s">
        <v>228</v>
      </c>
      <c r="U94" s="174">
        <f>((D143*(F8^2))/8)/1000000</f>
        <v>15.75</v>
      </c>
      <c r="V94" s="174"/>
      <c r="W94" s="175"/>
      <c r="X94" s="175"/>
    </row>
    <row r="95" spans="1:34">
      <c r="A95" s="156" t="s">
        <v>238</v>
      </c>
      <c r="B95" s="33"/>
      <c r="C95" s="33"/>
      <c r="D95" s="33"/>
      <c r="E95" s="33"/>
      <c r="F95" s="33"/>
      <c r="G95" s="33"/>
      <c r="H95" s="33"/>
      <c r="I95" s="33"/>
      <c r="J95" s="172"/>
      <c r="K95" s="172"/>
      <c r="L95" s="172"/>
      <c r="M95" s="172"/>
      <c r="N95" s="172"/>
      <c r="O95" s="100"/>
      <c r="P95" s="100"/>
      <c r="Q95" s="172"/>
      <c r="R95" s="174" t="s">
        <v>229</v>
      </c>
      <c r="S95" s="174">
        <f>(D143*F8)/(2*1000)</f>
        <v>21</v>
      </c>
      <c r="T95" s="174" t="s">
        <v>229</v>
      </c>
      <c r="U95" s="174">
        <f>((D143*(F8^2))/12)/1000000</f>
        <v>10.5</v>
      </c>
      <c r="V95" s="174"/>
      <c r="W95" s="175"/>
      <c r="X95" s="175"/>
    </row>
    <row r="96" spans="1:34">
      <c r="A96" s="135" t="s">
        <v>245</v>
      </c>
      <c r="B96" s="33">
        <f>E158</f>
        <v>262.17933511674028</v>
      </c>
      <c r="C96" s="151" t="s">
        <v>90</v>
      </c>
      <c r="D96" s="33" t="str">
        <f>F158</f>
        <v>✓ ok</v>
      </c>
      <c r="E96" s="33"/>
      <c r="F96" s="33"/>
      <c r="G96" s="33"/>
      <c r="H96" s="33"/>
      <c r="I96" s="33"/>
      <c r="J96" s="172"/>
      <c r="K96" s="172"/>
      <c r="L96" s="172"/>
      <c r="M96" s="172"/>
      <c r="N96" s="172"/>
      <c r="O96" s="172"/>
      <c r="P96" s="172"/>
      <c r="Q96" s="172"/>
      <c r="R96" s="174"/>
      <c r="S96" s="174"/>
      <c r="T96" s="174"/>
      <c r="U96" s="174"/>
      <c r="V96" s="174"/>
      <c r="W96" s="175"/>
      <c r="X96" s="175"/>
    </row>
    <row r="97" spans="1:24">
      <c r="A97" s="136" t="s">
        <v>246</v>
      </c>
      <c r="B97" s="33">
        <f>E159</f>
        <v>343.92099797830303</v>
      </c>
      <c r="C97" s="151" t="s">
        <v>90</v>
      </c>
      <c r="D97" s="33" t="str">
        <f>IF(B97 &lt;S121,"✗fails","✓ ok")</f>
        <v>✓ ok</v>
      </c>
      <c r="E97" s="33" t="str">
        <f>IF(B97 &lt;S125,"✗","✓ ")</f>
        <v xml:space="preserve">✓ </v>
      </c>
      <c r="F97" s="33"/>
      <c r="G97" s="33"/>
      <c r="H97" s="33"/>
      <c r="I97" s="33"/>
      <c r="J97" s="172"/>
      <c r="K97" s="172"/>
      <c r="L97" s="172"/>
      <c r="M97" s="172"/>
      <c r="N97" s="172"/>
      <c r="O97" s="172"/>
      <c r="P97" s="172"/>
      <c r="Q97" s="172"/>
      <c r="R97" s="174"/>
      <c r="S97" s="174"/>
      <c r="T97" s="174"/>
      <c r="U97" s="174"/>
      <c r="V97" s="174"/>
      <c r="W97" s="175"/>
      <c r="X97" s="175"/>
    </row>
    <row r="98" spans="1:24">
      <c r="A98" s="136" t="s">
        <v>247</v>
      </c>
      <c r="B98" s="33">
        <f>E160</f>
        <v>372.01714011423729</v>
      </c>
      <c r="C98" s="151" t="s">
        <v>90</v>
      </c>
      <c r="D98" s="33" t="str">
        <f>IF(B98 &lt;S122,"✗fails","✓ ok")</f>
        <v>✓ ok</v>
      </c>
      <c r="E98" s="33" t="str">
        <f>IF(B98 &lt;S126,"✗","✓ ")</f>
        <v xml:space="preserve">✓ </v>
      </c>
      <c r="F98" s="33" t="str">
        <f>IF(B98 &lt;S129,"✗","✓ ")</f>
        <v xml:space="preserve">✓ </v>
      </c>
      <c r="G98" s="33"/>
      <c r="H98" s="33"/>
      <c r="I98" s="33"/>
      <c r="J98" s="172"/>
      <c r="K98" s="172"/>
      <c r="L98" s="172"/>
      <c r="M98" s="172"/>
      <c r="N98" s="172"/>
      <c r="O98" s="172"/>
      <c r="P98" s="172"/>
      <c r="Q98" s="172"/>
      <c r="R98" s="174"/>
      <c r="S98" s="174"/>
      <c r="T98" s="174"/>
      <c r="U98" s="174"/>
      <c r="V98" s="174"/>
      <c r="W98" s="175"/>
      <c r="X98" s="175"/>
    </row>
    <row r="99" spans="1:24">
      <c r="A99" s="156" t="s">
        <v>248</v>
      </c>
      <c r="B99" s="33"/>
      <c r="C99" s="33"/>
      <c r="D99" s="33"/>
      <c r="E99" s="33"/>
      <c r="F99" s="33"/>
      <c r="G99" s="33"/>
      <c r="H99" s="33"/>
      <c r="I99" s="33"/>
      <c r="J99" s="172"/>
      <c r="K99" s="172"/>
      <c r="L99" s="172"/>
      <c r="M99" s="172"/>
      <c r="N99" s="172"/>
      <c r="O99" s="172"/>
      <c r="P99" s="172"/>
      <c r="Q99" s="172"/>
      <c r="R99" s="174"/>
      <c r="S99" s="174"/>
      <c r="T99" s="174"/>
      <c r="U99" s="174"/>
      <c r="V99" s="174"/>
      <c r="W99" s="175"/>
      <c r="X99" s="175"/>
    </row>
    <row r="100" spans="1:24">
      <c r="A100" s="38" t="s">
        <v>249</v>
      </c>
      <c r="B100" s="33">
        <f>IF(B60&gt;0,0, IF(B60&lt;0,G219, IF(B60&gt;1, 0)))</f>
        <v>438.3033524999999</v>
      </c>
      <c r="C100" s="151" t="s">
        <v>90</v>
      </c>
      <c r="D100" s="33" t="str">
        <f>I219</f>
        <v>✓ ok</v>
      </c>
      <c r="E100" s="33"/>
      <c r="F100" s="33"/>
      <c r="G100" s="33"/>
      <c r="H100" s="33"/>
      <c r="I100" s="33"/>
      <c r="J100" s="172"/>
      <c r="K100" s="172"/>
      <c r="L100" s="172"/>
      <c r="M100" s="172"/>
      <c r="N100" s="172"/>
      <c r="O100" s="172"/>
      <c r="P100" s="172"/>
      <c r="Q100" s="172"/>
      <c r="R100" s="174"/>
      <c r="S100" s="174"/>
      <c r="T100" s="174"/>
      <c r="U100" s="174"/>
      <c r="V100" s="174"/>
      <c r="W100" s="175"/>
      <c r="X100" s="175"/>
    </row>
    <row r="101" spans="1:24">
      <c r="A101" s="33"/>
      <c r="B101" s="33"/>
      <c r="C101" s="33"/>
      <c r="D101" s="33"/>
      <c r="E101" s="33"/>
      <c r="F101" s="33"/>
      <c r="G101" s="33"/>
      <c r="H101" s="33"/>
      <c r="I101" s="33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5"/>
      <c r="X101" s="175"/>
    </row>
    <row r="102" spans="1:24">
      <c r="A102" s="157" t="s">
        <v>239</v>
      </c>
      <c r="B102" s="33"/>
      <c r="C102" s="33"/>
      <c r="D102" s="33"/>
      <c r="E102" s="33"/>
      <c r="F102" s="33"/>
      <c r="G102" s="33"/>
      <c r="H102" s="33"/>
      <c r="I102" s="33"/>
      <c r="J102" s="172"/>
      <c r="K102" s="172"/>
      <c r="L102" s="172"/>
      <c r="M102" s="172"/>
      <c r="N102" s="172"/>
      <c r="O102" s="176"/>
      <c r="P102" s="176"/>
      <c r="Q102" s="172"/>
      <c r="R102" s="172"/>
      <c r="S102" s="172"/>
      <c r="T102" s="172"/>
      <c r="U102" s="172"/>
      <c r="V102" s="172"/>
      <c r="W102" s="175"/>
      <c r="X102" s="175"/>
    </row>
    <row r="103" spans="1:24">
      <c r="A103" s="136" t="s">
        <v>240</v>
      </c>
      <c r="B103" s="33">
        <f>E184</f>
        <v>52.04830283371782</v>
      </c>
      <c r="C103" s="151" t="s">
        <v>193</v>
      </c>
      <c r="D103" s="33" t="str">
        <f>F184</f>
        <v>✓ ok</v>
      </c>
      <c r="E103" s="33"/>
      <c r="F103" s="33"/>
      <c r="G103" s="33"/>
      <c r="H103" s="33"/>
      <c r="I103" s="33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5"/>
      <c r="X103" s="175"/>
    </row>
    <row r="104" spans="1:24">
      <c r="A104" s="136"/>
      <c r="B104" s="33"/>
      <c r="C104" s="33"/>
      <c r="D104" s="33"/>
      <c r="E104" s="33"/>
      <c r="F104" s="33"/>
      <c r="G104" s="33"/>
      <c r="H104" s="33"/>
      <c r="I104" s="33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5"/>
      <c r="X104" s="175"/>
    </row>
    <row r="105" spans="1:24">
      <c r="A105" s="155" t="s">
        <v>241</v>
      </c>
      <c r="B105" s="33"/>
      <c r="C105" s="33"/>
      <c r="D105" s="33"/>
      <c r="E105" s="33"/>
      <c r="F105" s="33"/>
      <c r="G105" s="33"/>
      <c r="H105" s="33"/>
      <c r="I105" s="33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5"/>
      <c r="X105" s="175"/>
    </row>
    <row r="106" spans="1:24">
      <c r="A106" s="158" t="s">
        <v>242</v>
      </c>
      <c r="B106" s="33" t="str">
        <f>G208</f>
        <v>✓ ok</v>
      </c>
      <c r="C106" s="33"/>
      <c r="D106" s="33"/>
      <c r="E106" s="33"/>
      <c r="F106" s="33"/>
      <c r="G106" s="33"/>
      <c r="H106" s="33"/>
      <c r="I106" s="33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5"/>
      <c r="X106" s="175"/>
    </row>
    <row r="107" spans="1:24">
      <c r="A107" s="159" t="s">
        <v>243</v>
      </c>
      <c r="B107" s="33" t="str">
        <f>G209</f>
        <v>✓ ok</v>
      </c>
      <c r="C107" s="33"/>
      <c r="D107" s="33"/>
      <c r="E107" s="33"/>
      <c r="F107" s="33"/>
      <c r="G107" s="33"/>
      <c r="H107" s="33"/>
      <c r="I107" s="33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5"/>
      <c r="X107" s="175"/>
    </row>
    <row r="108" spans="1:24">
      <c r="A108" s="160" t="s">
        <v>243</v>
      </c>
      <c r="B108" s="33" t="str">
        <f>G210</f>
        <v>✓ ok</v>
      </c>
      <c r="C108" s="33"/>
      <c r="D108" s="33"/>
      <c r="E108" s="33"/>
      <c r="F108" s="33"/>
      <c r="G108" s="33"/>
      <c r="H108" s="33"/>
      <c r="I108" s="33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5"/>
      <c r="X108" s="175"/>
    </row>
    <row r="109" spans="1:24">
      <c r="A109" s="158" t="s">
        <v>244</v>
      </c>
      <c r="B109" s="33" t="str">
        <f>H221</f>
        <v>✓ ok</v>
      </c>
      <c r="C109" s="33"/>
      <c r="D109" s="33"/>
      <c r="E109" s="33"/>
      <c r="F109" s="33"/>
      <c r="G109" s="33"/>
      <c r="H109" s="33"/>
      <c r="I109" s="33"/>
      <c r="J109" s="172"/>
      <c r="K109" s="172"/>
      <c r="L109" s="172"/>
      <c r="M109" s="172"/>
      <c r="N109" s="100"/>
      <c r="O109" s="176"/>
      <c r="P109" s="176"/>
      <c r="Q109" s="172"/>
      <c r="R109" s="172"/>
      <c r="S109" s="172"/>
      <c r="T109" s="172"/>
      <c r="U109" s="172"/>
      <c r="V109" s="172"/>
      <c r="W109" s="175"/>
      <c r="X109" s="175"/>
    </row>
    <row r="110" spans="1:24">
      <c r="A110" s="33"/>
      <c r="B110" s="33"/>
      <c r="C110" s="33"/>
      <c r="D110" s="33"/>
      <c r="E110" s="33"/>
      <c r="F110" s="33"/>
      <c r="G110" s="33"/>
      <c r="H110" s="33"/>
      <c r="I110" s="33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5"/>
      <c r="X110" s="175"/>
    </row>
    <row r="111" spans="1:24">
      <c r="A111" s="155" t="s">
        <v>250</v>
      </c>
      <c r="B111" s="33"/>
      <c r="C111" s="33"/>
      <c r="D111" s="33"/>
      <c r="E111" s="33"/>
      <c r="F111" s="33"/>
      <c r="G111" s="33"/>
      <c r="H111" s="33"/>
      <c r="I111" s="33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5"/>
      <c r="X111" s="175"/>
    </row>
    <row r="112" spans="1:24">
      <c r="A112" s="73" t="s">
        <v>215</v>
      </c>
      <c r="B112" s="33" t="str">
        <f>G231</f>
        <v>✓ ok</v>
      </c>
      <c r="C112" s="33"/>
      <c r="D112" s="33"/>
      <c r="E112" s="33"/>
      <c r="F112" s="33"/>
      <c r="G112" s="33"/>
      <c r="H112" s="33"/>
      <c r="I112" s="33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5"/>
      <c r="X112" s="175"/>
    </row>
    <row r="113" spans="1:24">
      <c r="A113" s="155" t="s">
        <v>251</v>
      </c>
      <c r="B113" s="33"/>
      <c r="C113" s="33"/>
      <c r="D113" s="33"/>
      <c r="E113" s="33"/>
      <c r="F113" s="33"/>
      <c r="G113" s="33"/>
      <c r="H113" s="33"/>
      <c r="I113" s="33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5"/>
      <c r="X113" s="175"/>
    </row>
    <row r="114" spans="1:24">
      <c r="A114" s="33"/>
      <c r="B114" s="33"/>
      <c r="C114" s="33"/>
      <c r="D114" s="33"/>
      <c r="E114" s="33"/>
      <c r="F114" s="33"/>
      <c r="G114" s="33"/>
      <c r="H114" s="33"/>
      <c r="I114" s="33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5"/>
      <c r="X114" s="175"/>
    </row>
    <row r="115" spans="1:24">
      <c r="A115" s="73" t="s">
        <v>252</v>
      </c>
      <c r="B115" s="33" t="str">
        <f>G238</f>
        <v>✓ ok</v>
      </c>
      <c r="C115" s="33"/>
      <c r="D115" s="33"/>
      <c r="E115" s="33"/>
      <c r="F115" s="33"/>
      <c r="G115" s="33"/>
      <c r="H115" s="33"/>
      <c r="I115" s="33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5"/>
      <c r="X115" s="175"/>
    </row>
    <row r="116" spans="1:24">
      <c r="A116" s="33"/>
      <c r="B116" s="33"/>
      <c r="C116" s="33"/>
      <c r="D116" s="33"/>
      <c r="E116" s="33"/>
      <c r="F116" s="33"/>
      <c r="G116" s="33"/>
      <c r="H116" s="33"/>
      <c r="I116" s="33"/>
      <c r="J116" s="172"/>
      <c r="K116" s="172"/>
      <c r="L116" s="172"/>
      <c r="M116" s="172"/>
      <c r="N116" s="176"/>
      <c r="O116" s="172"/>
      <c r="P116" s="172"/>
      <c r="Q116" s="172"/>
      <c r="R116" s="172"/>
      <c r="S116" s="172"/>
      <c r="T116" s="172"/>
      <c r="U116" s="172"/>
      <c r="V116" s="172"/>
      <c r="W116" s="175"/>
      <c r="X116" s="175"/>
    </row>
    <row r="117" spans="1:24">
      <c r="A117" s="33"/>
      <c r="B117" s="33"/>
      <c r="C117" s="33"/>
      <c r="D117" s="33"/>
      <c r="E117" s="33"/>
      <c r="F117" s="33"/>
      <c r="G117" s="33"/>
      <c r="H117" s="33"/>
      <c r="I117" s="33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5"/>
      <c r="X117" s="175"/>
    </row>
    <row r="118" spans="1:24" ht="28.8">
      <c r="A118" s="154" t="s">
        <v>254</v>
      </c>
      <c r="B118" s="33"/>
      <c r="C118" s="33"/>
      <c r="D118" s="33"/>
      <c r="E118" s="33"/>
      <c r="F118" s="33"/>
      <c r="G118" s="33"/>
      <c r="H118" s="33"/>
      <c r="I118" s="33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5"/>
      <c r="X118" s="175"/>
    </row>
    <row r="119" spans="1:24" ht="18">
      <c r="A119" s="58" t="s">
        <v>112</v>
      </c>
      <c r="B119" s="33"/>
      <c r="C119" s="33"/>
      <c r="D119" s="33"/>
      <c r="E119" s="33"/>
      <c r="F119" s="33"/>
      <c r="G119" s="33"/>
      <c r="H119" s="33"/>
      <c r="I119" s="33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5"/>
      <c r="X119" s="175"/>
    </row>
    <row r="120" spans="1:24">
      <c r="A120" s="33"/>
      <c r="B120" s="33"/>
      <c r="C120" s="33"/>
      <c r="D120" s="33"/>
      <c r="E120" s="33"/>
      <c r="F120" s="33"/>
      <c r="G120" s="33"/>
      <c r="H120" s="33"/>
      <c r="I120" s="33"/>
      <c r="J120" s="172"/>
      <c r="K120" s="172"/>
      <c r="L120" s="172"/>
      <c r="M120" s="172"/>
      <c r="N120" s="172"/>
      <c r="O120" s="172"/>
      <c r="P120" s="172"/>
      <c r="Q120" s="172"/>
      <c r="R120" s="172" t="s">
        <v>260</v>
      </c>
      <c r="S120" s="172">
        <f>D122</f>
        <v>14</v>
      </c>
      <c r="T120" s="172"/>
      <c r="U120" s="172"/>
      <c r="V120" s="172"/>
      <c r="W120" s="175"/>
      <c r="X120" s="175"/>
    </row>
    <row r="121" spans="1:24">
      <c r="A121" s="33"/>
      <c r="B121" s="90" t="s">
        <v>115</v>
      </c>
      <c r="C121" s="91" t="s">
        <v>114</v>
      </c>
      <c r="D121" s="91" t="s">
        <v>169</v>
      </c>
      <c r="E121" s="91"/>
      <c r="F121" s="47"/>
      <c r="G121" s="91" t="s">
        <v>168</v>
      </c>
      <c r="H121" s="47"/>
      <c r="I121" s="91"/>
      <c r="J121" s="179" t="s">
        <v>280</v>
      </c>
      <c r="K121" s="179"/>
      <c r="L121" s="180" t="s">
        <v>281</v>
      </c>
      <c r="M121" s="172"/>
      <c r="N121" s="172"/>
      <c r="O121" s="172"/>
      <c r="P121" s="172"/>
      <c r="Q121" s="172"/>
      <c r="R121" s="172" t="s">
        <v>261</v>
      </c>
      <c r="S121" s="172">
        <f>MAX(D123,D124,)</f>
        <v>42.5</v>
      </c>
      <c r="T121" s="172"/>
      <c r="U121" s="172"/>
      <c r="V121" s="172"/>
      <c r="W121" s="175"/>
      <c r="X121" s="175"/>
    </row>
    <row r="122" spans="1:24">
      <c r="A122" s="66">
        <v>1</v>
      </c>
      <c r="B122" s="92" t="s">
        <v>271</v>
      </c>
      <c r="C122" s="67">
        <v>0.65</v>
      </c>
      <c r="D122" s="93">
        <f>1.4*B56</f>
        <v>14</v>
      </c>
      <c r="E122" s="50"/>
      <c r="F122" s="40"/>
      <c r="G122" s="50"/>
      <c r="H122" s="50"/>
      <c r="I122" s="50"/>
      <c r="J122" s="176"/>
      <c r="K122" s="176"/>
      <c r="L122" s="181"/>
      <c r="M122" s="172"/>
      <c r="N122" s="172"/>
      <c r="O122" s="172"/>
      <c r="P122" s="172"/>
      <c r="Q122" s="172"/>
      <c r="R122" s="172" t="s">
        <v>264</v>
      </c>
      <c r="S122" s="172">
        <f>D125</f>
        <v>36.5</v>
      </c>
      <c r="T122" s="172"/>
      <c r="U122" s="172"/>
      <c r="V122" s="172"/>
      <c r="W122" s="175"/>
      <c r="X122" s="175"/>
    </row>
    <row r="123" spans="1:24">
      <c r="A123" s="168" t="s">
        <v>145</v>
      </c>
      <c r="B123" s="101" t="s">
        <v>122</v>
      </c>
      <c r="C123" s="98">
        <v>1</v>
      </c>
      <c r="D123" s="169">
        <f>(1.25*B56)+(1.5*B58)</f>
        <v>42.5</v>
      </c>
      <c r="E123" s="50"/>
      <c r="F123" s="50"/>
      <c r="G123" s="50"/>
      <c r="H123" s="50"/>
      <c r="I123" s="50"/>
      <c r="J123" s="176"/>
      <c r="K123" s="176"/>
      <c r="L123" s="181"/>
      <c r="M123" s="172"/>
      <c r="N123" s="176"/>
      <c r="O123" s="172"/>
      <c r="P123" s="172"/>
      <c r="Q123" s="172"/>
      <c r="R123" s="172" t="s">
        <v>263</v>
      </c>
      <c r="S123" s="172">
        <f>ABS(MIN(D126,D127))</f>
        <v>39</v>
      </c>
      <c r="T123" s="172"/>
      <c r="U123" s="172"/>
      <c r="V123" s="172"/>
      <c r="W123" s="175"/>
      <c r="X123" s="175"/>
    </row>
    <row r="124" spans="1:24">
      <c r="A124" s="168" t="s">
        <v>146</v>
      </c>
      <c r="B124" s="101" t="s">
        <v>123</v>
      </c>
      <c r="C124" s="98">
        <v>1</v>
      </c>
      <c r="D124" s="100">
        <f>(1.25*B56)+(1.5*B58)+(0.5*B60)</f>
        <v>35</v>
      </c>
      <c r="E124" s="50"/>
      <c r="F124" s="50"/>
      <c r="G124" s="50"/>
      <c r="H124" s="50"/>
      <c r="I124" s="50"/>
      <c r="J124" s="176"/>
      <c r="K124" s="176"/>
      <c r="L124" s="181"/>
      <c r="M124" s="172"/>
      <c r="N124" s="172"/>
      <c r="O124" s="172"/>
      <c r="P124" s="172"/>
      <c r="Q124" s="172"/>
      <c r="R124" s="172" t="s">
        <v>265</v>
      </c>
      <c r="S124" s="172">
        <f>ABS(D128)</f>
        <v>33</v>
      </c>
      <c r="T124" s="172"/>
      <c r="U124" s="172"/>
      <c r="V124" s="172"/>
      <c r="W124" s="175"/>
      <c r="X124" s="175"/>
    </row>
    <row r="125" spans="1:24">
      <c r="A125" s="168" t="s">
        <v>147</v>
      </c>
      <c r="B125" s="101" t="s">
        <v>124</v>
      </c>
      <c r="C125" s="98">
        <v>1.1499999999999999</v>
      </c>
      <c r="D125" s="100">
        <f>(1.25*B56)+(1.5*B58)+(0.4*B60)</f>
        <v>36.5</v>
      </c>
      <c r="E125" s="50"/>
      <c r="F125" s="50"/>
      <c r="G125" s="50"/>
      <c r="H125" s="50"/>
      <c r="I125" s="50"/>
      <c r="J125" s="176"/>
      <c r="K125" s="176"/>
      <c r="L125" s="181"/>
      <c r="M125" s="172"/>
      <c r="N125" s="172"/>
      <c r="O125" s="172"/>
      <c r="P125" s="172"/>
      <c r="Q125" s="172"/>
      <c r="R125" s="172" t="s">
        <v>262</v>
      </c>
      <c r="S125" s="172">
        <f>MAX(D130,D131)</f>
        <v>22.5</v>
      </c>
      <c r="T125" s="172"/>
      <c r="U125" s="172"/>
      <c r="V125" s="172"/>
      <c r="W125" s="175"/>
      <c r="X125" s="175"/>
    </row>
    <row r="126" spans="1:24">
      <c r="A126" s="168" t="s">
        <v>148</v>
      </c>
      <c r="B126" s="170" t="s">
        <v>125</v>
      </c>
      <c r="C126" s="98">
        <v>1</v>
      </c>
      <c r="D126" s="100">
        <f>(0.9*B56)+(1.5*B58)</f>
        <v>39</v>
      </c>
      <c r="E126" s="50"/>
      <c r="F126" s="50"/>
      <c r="G126" s="50"/>
      <c r="H126" s="50"/>
      <c r="I126" s="50"/>
      <c r="J126" s="176"/>
      <c r="K126" s="176"/>
      <c r="L126" s="181">
        <f>(D126/C126)</f>
        <v>39</v>
      </c>
      <c r="M126" s="100"/>
      <c r="N126" s="172"/>
      <c r="O126" s="172"/>
      <c r="P126" s="172"/>
      <c r="Q126" s="172"/>
      <c r="R126" s="172" t="s">
        <v>266</v>
      </c>
      <c r="S126" s="172">
        <f>D132</f>
        <v>6.5</v>
      </c>
      <c r="T126" s="172"/>
      <c r="U126" s="172"/>
      <c r="V126" s="172"/>
      <c r="W126" s="175"/>
      <c r="X126" s="175"/>
    </row>
    <row r="127" spans="1:24">
      <c r="A127" s="168" t="s">
        <v>149</v>
      </c>
      <c r="B127" s="101" t="s">
        <v>126</v>
      </c>
      <c r="C127" s="98">
        <v>1</v>
      </c>
      <c r="D127" s="100">
        <f>(0.9*B56)+(1.5*B58)+(0.5*B59)</f>
        <v>39</v>
      </c>
      <c r="E127" s="50"/>
      <c r="F127" s="50"/>
      <c r="G127" s="50"/>
      <c r="H127" s="50"/>
      <c r="I127" s="50"/>
      <c r="J127" s="176"/>
      <c r="K127" s="176"/>
      <c r="L127" s="181">
        <f>(D127/C127)</f>
        <v>39</v>
      </c>
      <c r="M127" s="172"/>
      <c r="N127" s="172"/>
      <c r="O127" s="172"/>
      <c r="P127" s="172"/>
      <c r="Q127" s="172"/>
      <c r="R127" s="172" t="s">
        <v>267</v>
      </c>
      <c r="S127" s="172">
        <f>ABS(MIN(D133,D134))</f>
        <v>9</v>
      </c>
      <c r="T127" s="172"/>
      <c r="U127" s="172"/>
      <c r="V127" s="172"/>
      <c r="W127" s="175"/>
      <c r="X127" s="175"/>
    </row>
    <row r="128" spans="1:24">
      <c r="A128" s="168" t="s">
        <v>150</v>
      </c>
      <c r="B128" s="101" t="s">
        <v>127</v>
      </c>
      <c r="C128" s="98">
        <v>1.1499999999999999</v>
      </c>
      <c r="D128" s="100">
        <f>(0.9*B56)+(1.5*B58)+(0.4*B60)</f>
        <v>33</v>
      </c>
      <c r="E128" s="50"/>
      <c r="F128" s="50"/>
      <c r="G128" s="50"/>
      <c r="H128" s="50"/>
      <c r="I128" s="50"/>
      <c r="J128" s="176"/>
      <c r="K128" s="176"/>
      <c r="L128" s="181">
        <f>(D128/C128)</f>
        <v>28.695652173913047</v>
      </c>
      <c r="M128" s="172"/>
      <c r="N128" s="172"/>
      <c r="O128" s="172"/>
      <c r="P128" s="172"/>
      <c r="Q128" s="172"/>
      <c r="R128" s="172" t="s">
        <v>268</v>
      </c>
      <c r="S128" s="172">
        <f>ABS(D135)</f>
        <v>3</v>
      </c>
      <c r="T128" s="172"/>
      <c r="U128" s="172"/>
      <c r="V128" s="172"/>
      <c r="W128" s="175"/>
      <c r="X128" s="175"/>
    </row>
    <row r="129" spans="1:24">
      <c r="A129" s="98" t="s">
        <v>151</v>
      </c>
      <c r="B129" s="99" t="s">
        <v>142</v>
      </c>
      <c r="C129" s="98">
        <v>1.1499999999999999</v>
      </c>
      <c r="D129" s="100">
        <f>0.4*B65</f>
        <v>4</v>
      </c>
      <c r="E129" s="100"/>
      <c r="F129" s="100"/>
      <c r="G129" s="100">
        <f>VLOOKUP(B10,R78:S81,2,FALSE)</f>
        <v>6</v>
      </c>
      <c r="H129" s="100"/>
      <c r="I129" s="100"/>
      <c r="J129" s="100">
        <f>VLOOKUP(B10,T78:U81,2,FALSE)</f>
        <v>4.5</v>
      </c>
      <c r="K129" s="100"/>
      <c r="L129" s="182"/>
      <c r="M129" s="172"/>
      <c r="N129" s="172"/>
      <c r="O129" s="172"/>
      <c r="P129" s="172"/>
      <c r="Q129" s="172"/>
      <c r="R129" s="172" t="s">
        <v>269</v>
      </c>
      <c r="S129" s="172">
        <f>MAX(D137,D138,D139)</f>
        <v>1.5</v>
      </c>
      <c r="T129" s="172"/>
      <c r="U129" s="172"/>
      <c r="V129" s="172"/>
      <c r="W129" s="175"/>
      <c r="X129" s="175"/>
    </row>
    <row r="130" spans="1:24">
      <c r="A130" s="168" t="s">
        <v>152</v>
      </c>
      <c r="B130" s="101" t="s">
        <v>128</v>
      </c>
      <c r="C130" s="98">
        <v>1</v>
      </c>
      <c r="D130" s="100">
        <f>(1.25*B56)+(1.5*B59)</f>
        <v>12.5</v>
      </c>
      <c r="E130" s="50"/>
      <c r="F130" s="50"/>
      <c r="G130" s="50"/>
      <c r="H130" s="50"/>
      <c r="I130" s="50"/>
      <c r="J130" s="176"/>
      <c r="K130" s="176"/>
      <c r="L130" s="181"/>
      <c r="M130" s="172"/>
      <c r="N130" s="172"/>
      <c r="O130" s="172"/>
      <c r="P130" s="172"/>
      <c r="Q130" s="172"/>
      <c r="R130" s="172" t="s">
        <v>270</v>
      </c>
      <c r="S130" s="172">
        <f>ABS(MIN(D140,D141,D142))</f>
        <v>12</v>
      </c>
      <c r="T130" s="172"/>
      <c r="U130" s="172"/>
      <c r="V130" s="172"/>
      <c r="W130" s="175"/>
      <c r="X130" s="175"/>
    </row>
    <row r="131" spans="1:24">
      <c r="A131" s="168" t="s">
        <v>153</v>
      </c>
      <c r="B131" s="101" t="s">
        <v>129</v>
      </c>
      <c r="C131" s="98">
        <v>1</v>
      </c>
      <c r="D131" s="100">
        <f>(1.25*B56)+(1.5*B59)+(0.5*B58)</f>
        <v>22.5</v>
      </c>
      <c r="E131" s="50"/>
      <c r="F131" s="50"/>
      <c r="G131" s="50"/>
      <c r="H131" s="50"/>
      <c r="I131" s="50"/>
      <c r="J131" s="176"/>
      <c r="K131" s="176"/>
      <c r="L131" s="181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5"/>
      <c r="X131" s="175"/>
    </row>
    <row r="132" spans="1:24">
      <c r="A132" s="168" t="s">
        <v>154</v>
      </c>
      <c r="B132" s="101" t="s">
        <v>130</v>
      </c>
      <c r="C132" s="98">
        <v>1.1499999999999999</v>
      </c>
      <c r="D132" s="100">
        <f>(1.25*B56)+(2.5*B59)+(0.4*B60)</f>
        <v>6.5</v>
      </c>
      <c r="E132" s="50"/>
      <c r="F132" s="50"/>
      <c r="G132" s="50"/>
      <c r="H132" s="50"/>
      <c r="I132" s="50"/>
      <c r="J132" s="176"/>
      <c r="K132" s="176"/>
      <c r="L132" s="181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5"/>
      <c r="X132" s="175"/>
    </row>
    <row r="133" spans="1:24">
      <c r="A133" s="168" t="s">
        <v>155</v>
      </c>
      <c r="B133" s="101" t="s">
        <v>131</v>
      </c>
      <c r="C133" s="98">
        <v>1</v>
      </c>
      <c r="D133" s="100">
        <f>(0.9*B56)+(1.5*B59)</f>
        <v>9</v>
      </c>
      <c r="E133" s="50"/>
      <c r="F133" s="50"/>
      <c r="G133" s="50"/>
      <c r="H133" s="50"/>
      <c r="I133" s="50"/>
      <c r="J133" s="176"/>
      <c r="K133" s="176"/>
      <c r="L133" s="181">
        <f>(D133/C133)</f>
        <v>9</v>
      </c>
      <c r="M133" s="176"/>
      <c r="N133" s="172"/>
      <c r="O133" s="172"/>
      <c r="P133" s="172"/>
      <c r="Q133" s="172"/>
      <c r="R133" s="172"/>
      <c r="S133" s="172"/>
      <c r="T133" s="172"/>
      <c r="U133" s="172"/>
      <c r="V133" s="172"/>
      <c r="W133" s="175"/>
      <c r="X133" s="175"/>
    </row>
    <row r="134" spans="1:24">
      <c r="A134" s="168" t="s">
        <v>156</v>
      </c>
      <c r="B134" s="101" t="s">
        <v>132</v>
      </c>
      <c r="C134" s="98">
        <v>1</v>
      </c>
      <c r="D134" s="100">
        <f>(0.9*B56)+(1.5*B59)+(0.5*B58)</f>
        <v>19</v>
      </c>
      <c r="E134" s="50"/>
      <c r="F134" s="50"/>
      <c r="G134" s="50"/>
      <c r="H134" s="50"/>
      <c r="I134" s="50"/>
      <c r="J134" s="176"/>
      <c r="K134" s="176"/>
      <c r="L134" s="181">
        <f>(D134/C134)</f>
        <v>19</v>
      </c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5"/>
      <c r="X134" s="175"/>
    </row>
    <row r="135" spans="1:24">
      <c r="A135" s="168" t="s">
        <v>157</v>
      </c>
      <c r="B135" s="101" t="s">
        <v>133</v>
      </c>
      <c r="C135" s="98">
        <v>1.1499999999999999</v>
      </c>
      <c r="D135" s="100">
        <f>(0.9*B56)+(1.5*B59)+(0.4*B60)</f>
        <v>3</v>
      </c>
      <c r="E135" s="50"/>
      <c r="F135" s="50"/>
      <c r="G135" s="50"/>
      <c r="H135" s="50"/>
      <c r="I135" s="50"/>
      <c r="J135" s="176"/>
      <c r="K135" s="176"/>
      <c r="L135" s="181">
        <f>(D135/C135)</f>
        <v>2.6086956521739131</v>
      </c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5"/>
      <c r="X135" s="175"/>
    </row>
    <row r="136" spans="1:24">
      <c r="A136" s="98" t="s">
        <v>158</v>
      </c>
      <c r="B136" s="101" t="s">
        <v>143</v>
      </c>
      <c r="C136" s="98">
        <v>1.1499999999999999</v>
      </c>
      <c r="D136" s="100">
        <f>0.4*B65</f>
        <v>4</v>
      </c>
      <c r="E136" s="50"/>
      <c r="F136" s="50"/>
      <c r="G136" s="50">
        <f>VLOOKUP(B10,R85:S88,2,FALSE)</f>
        <v>6</v>
      </c>
      <c r="H136" s="50"/>
      <c r="I136" s="50"/>
      <c r="J136" s="176">
        <f>VLOOKUP(B10,T85:U88,2,FALSE)</f>
        <v>4.5</v>
      </c>
      <c r="K136" s="176"/>
      <c r="L136" s="181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5"/>
      <c r="X136" s="175"/>
    </row>
    <row r="137" spans="1:24">
      <c r="A137" s="66" t="s">
        <v>159</v>
      </c>
      <c r="B137" s="92" t="s">
        <v>134</v>
      </c>
      <c r="C137" s="67">
        <v>1.1499999999999999</v>
      </c>
      <c r="D137" s="94">
        <f>(1.25*B56)+(1.4*B60)</f>
        <v>-8.5</v>
      </c>
      <c r="E137" s="50"/>
      <c r="F137" s="50"/>
      <c r="G137" s="50"/>
      <c r="H137" s="50"/>
      <c r="I137" s="50"/>
      <c r="J137" s="176"/>
      <c r="K137" s="176"/>
      <c r="L137" s="181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5"/>
      <c r="X137" s="175"/>
    </row>
    <row r="138" spans="1:24">
      <c r="A138" s="66" t="s">
        <v>160</v>
      </c>
      <c r="B138" s="92" t="s">
        <v>135</v>
      </c>
      <c r="C138" s="67">
        <v>1.1499999999999999</v>
      </c>
      <c r="D138" s="94">
        <f>(1.25*B56)+(1.4*B60)+(0.5*B58)</f>
        <v>1.5</v>
      </c>
      <c r="E138" s="50"/>
      <c r="F138" s="50"/>
      <c r="G138" s="50"/>
      <c r="H138" s="50"/>
      <c r="I138" s="50"/>
      <c r="J138" s="176"/>
      <c r="K138" s="176"/>
      <c r="L138" s="181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5"/>
      <c r="X138" s="175"/>
    </row>
    <row r="139" spans="1:24">
      <c r="A139" s="66" t="s">
        <v>161</v>
      </c>
      <c r="B139" s="92" t="s">
        <v>136</v>
      </c>
      <c r="C139" s="67">
        <v>1.1499999999999999</v>
      </c>
      <c r="D139" s="94">
        <f>(1.25*B56)+(1.4*B60)+(0.5*B59)</f>
        <v>-8.5</v>
      </c>
      <c r="E139" s="50"/>
      <c r="F139" s="50"/>
      <c r="G139" s="50"/>
      <c r="H139" s="50"/>
      <c r="I139" s="50"/>
      <c r="J139" s="176"/>
      <c r="K139" s="176"/>
      <c r="L139" s="181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5"/>
      <c r="X139" s="175"/>
    </row>
    <row r="140" spans="1:24">
      <c r="A140" s="66" t="s">
        <v>162</v>
      </c>
      <c r="B140" s="92" t="s">
        <v>137</v>
      </c>
      <c r="C140" s="67">
        <v>1.1499999999999999</v>
      </c>
      <c r="D140" s="94">
        <f>(0.9*B56)+(1.4*B60)</f>
        <v>-12</v>
      </c>
      <c r="E140" s="50"/>
      <c r="F140" s="50"/>
      <c r="G140" s="50"/>
      <c r="H140" s="50"/>
      <c r="I140" s="50"/>
      <c r="J140" s="176"/>
      <c r="K140" s="176"/>
      <c r="L140" s="181">
        <f>(D140/C140)</f>
        <v>-10.434782608695652</v>
      </c>
      <c r="M140" s="176"/>
      <c r="N140" s="172"/>
      <c r="O140" s="172"/>
      <c r="P140" s="172"/>
      <c r="Q140" s="172"/>
      <c r="R140" s="172"/>
      <c r="S140" s="172"/>
      <c r="T140" s="172"/>
      <c r="U140" s="172"/>
      <c r="V140" s="172"/>
      <c r="W140" s="175"/>
      <c r="X140" s="175"/>
    </row>
    <row r="141" spans="1:24">
      <c r="A141" s="66" t="s">
        <v>163</v>
      </c>
      <c r="B141" s="92" t="s">
        <v>138</v>
      </c>
      <c r="C141" s="67">
        <v>1.1499999999999999</v>
      </c>
      <c r="D141" s="94">
        <f>(0.9*B56)+(1.4*B60)+(0.5*B58)</f>
        <v>-2</v>
      </c>
      <c r="E141" s="50"/>
      <c r="F141" s="50"/>
      <c r="G141" s="50"/>
      <c r="H141" s="50"/>
      <c r="I141" s="50"/>
      <c r="J141" s="176"/>
      <c r="K141" s="176"/>
      <c r="L141" s="181">
        <f>(D141/C141)</f>
        <v>-1.7391304347826089</v>
      </c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5"/>
      <c r="X141" s="175"/>
    </row>
    <row r="142" spans="1:24">
      <c r="A142" s="66" t="s">
        <v>164</v>
      </c>
      <c r="B142" s="92" t="s">
        <v>139</v>
      </c>
      <c r="C142" s="67">
        <v>1.1499999999999999</v>
      </c>
      <c r="D142" s="94">
        <f>(0.9*B56)+(1.4*B60)+(0.5*B59)</f>
        <v>-12</v>
      </c>
      <c r="E142" s="50"/>
      <c r="F142" s="50"/>
      <c r="G142" s="50"/>
      <c r="H142" s="50"/>
      <c r="I142" s="50"/>
      <c r="J142" s="176"/>
      <c r="K142" s="176"/>
      <c r="L142" s="181">
        <f>(D142/C142)</f>
        <v>-10.434782608695652</v>
      </c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5"/>
      <c r="X142" s="175"/>
    </row>
    <row r="143" spans="1:24">
      <c r="A143" s="67" t="s">
        <v>165</v>
      </c>
      <c r="B143" s="101" t="s">
        <v>144</v>
      </c>
      <c r="C143" s="67">
        <v>1.1499999999999999</v>
      </c>
      <c r="D143" s="100">
        <f>1.4*B65</f>
        <v>14</v>
      </c>
      <c r="E143" s="50"/>
      <c r="F143" s="50"/>
      <c r="G143" s="50">
        <f>VLOOKUP(B10,R92:S95,2,FALSE)</f>
        <v>21</v>
      </c>
      <c r="H143" s="50"/>
      <c r="I143" s="50"/>
      <c r="J143" s="176">
        <f>VLOOKUP(B10,T92:U95,2,FALSE)</f>
        <v>15.75</v>
      </c>
      <c r="K143" s="176"/>
      <c r="L143" s="181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5"/>
      <c r="X143" s="175"/>
    </row>
    <row r="144" spans="1:24">
      <c r="A144" s="66" t="s">
        <v>166</v>
      </c>
      <c r="B144" s="92" t="s">
        <v>140</v>
      </c>
      <c r="C144" s="67">
        <v>1.1499999999999999</v>
      </c>
      <c r="D144" s="94">
        <f>(1*B56)+(1*B63)</f>
        <v>10</v>
      </c>
      <c r="E144" s="50"/>
      <c r="F144" s="50"/>
      <c r="G144" s="50"/>
      <c r="H144" s="50"/>
      <c r="I144" s="50"/>
      <c r="J144" s="176"/>
      <c r="K144" s="176"/>
      <c r="L144" s="181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5"/>
      <c r="X144" s="175"/>
    </row>
    <row r="145" spans="1:24">
      <c r="A145" s="66" t="s">
        <v>167</v>
      </c>
      <c r="B145" s="95" t="s">
        <v>141</v>
      </c>
      <c r="C145" s="96">
        <v>1.1499999999999999</v>
      </c>
      <c r="D145" s="97">
        <f>(1*B56)+(0.5*B58)+(0.25*B59)</f>
        <v>20</v>
      </c>
      <c r="E145" s="55"/>
      <c r="F145" s="55"/>
      <c r="G145" s="55"/>
      <c r="H145" s="55"/>
      <c r="I145" s="55"/>
      <c r="J145" s="183"/>
      <c r="K145" s="183"/>
      <c r="L145" s="184">
        <f>MIN(D126,D127,D128,D133,D134,D135,D140,D141,D142)</f>
        <v>-12</v>
      </c>
      <c r="M145" s="172"/>
      <c r="N145" s="172"/>
      <c r="O145" s="172"/>
      <c r="P145" s="172"/>
      <c r="Q145" s="172"/>
      <c r="R145" s="172"/>
      <c r="S145" s="172"/>
      <c r="T145" s="172"/>
      <c r="U145" s="172"/>
      <c r="V145" s="172"/>
      <c r="W145" s="175"/>
      <c r="X145" s="175"/>
    </row>
    <row r="146" spans="1:24">
      <c r="A146" s="33"/>
      <c r="B146" s="33"/>
      <c r="C146" s="33"/>
      <c r="D146" s="33"/>
      <c r="E146" s="33"/>
      <c r="F146" s="33"/>
      <c r="G146" s="33"/>
      <c r="H146" s="33"/>
      <c r="I146" s="33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5"/>
      <c r="X146" s="175"/>
    </row>
    <row r="147" spans="1:24">
      <c r="A147" s="33"/>
      <c r="B147" s="33"/>
      <c r="C147" s="33"/>
      <c r="D147" s="33"/>
      <c r="E147" s="33"/>
      <c r="F147" s="33"/>
      <c r="G147" s="33"/>
      <c r="H147" s="33"/>
      <c r="I147" s="33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5"/>
      <c r="X147" s="175"/>
    </row>
    <row r="148" spans="1:24">
      <c r="A148" s="33"/>
      <c r="B148" s="33"/>
      <c r="C148" s="33"/>
      <c r="D148" s="33"/>
      <c r="E148" s="33"/>
      <c r="F148" s="33"/>
      <c r="G148" s="33"/>
      <c r="H148" s="33"/>
      <c r="I148" s="33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5"/>
      <c r="X148" s="175"/>
    </row>
    <row r="149" spans="1:24">
      <c r="A149" s="33"/>
      <c r="B149" s="33"/>
      <c r="C149" s="33"/>
      <c r="D149" s="33"/>
      <c r="E149" s="33"/>
      <c r="F149" s="33"/>
      <c r="G149" s="33"/>
      <c r="H149" s="33"/>
      <c r="I149" s="33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5"/>
      <c r="X149" s="175"/>
    </row>
    <row r="150" spans="1:24" ht="21">
      <c r="A150" s="163" t="s">
        <v>212</v>
      </c>
      <c r="B150" s="33"/>
      <c r="C150" s="33"/>
      <c r="D150" s="33"/>
      <c r="E150" s="33"/>
      <c r="F150" s="33"/>
      <c r="G150" s="33"/>
      <c r="H150" s="33"/>
      <c r="I150" s="33"/>
      <c r="J150" s="172"/>
      <c r="K150" s="176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5"/>
      <c r="X150" s="175"/>
    </row>
    <row r="151" spans="1:24">
      <c r="A151" s="33"/>
      <c r="B151" s="33"/>
      <c r="C151" s="33"/>
      <c r="D151" s="33"/>
      <c r="E151" s="33"/>
      <c r="F151" s="33"/>
      <c r="G151" s="33"/>
      <c r="H151" s="33"/>
      <c r="I151" s="33"/>
      <c r="J151" s="172"/>
      <c r="K151" s="176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  <c r="V151" s="172"/>
      <c r="W151" s="175"/>
      <c r="X151" s="175"/>
    </row>
    <row r="152" spans="1:24">
      <c r="A152" s="133"/>
      <c r="B152" s="146" t="s">
        <v>69</v>
      </c>
      <c r="C152" s="102"/>
      <c r="D152" s="147" t="s">
        <v>68</v>
      </c>
      <c r="E152" s="87"/>
      <c r="F152" s="87"/>
      <c r="G152" s="33"/>
      <c r="H152" s="50"/>
      <c r="I152" s="33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175"/>
      <c r="X152" s="175"/>
    </row>
    <row r="153" spans="1:24">
      <c r="A153" s="74" t="s">
        <v>170</v>
      </c>
      <c r="B153" s="130">
        <v>0.8</v>
      </c>
      <c r="C153" s="164">
        <f>(0.68)*((B8/1000)*(D8/1000)*(F8/1000))^-0.13</f>
        <v>0.88358252897553302</v>
      </c>
      <c r="D153" s="107" t="s">
        <v>170</v>
      </c>
      <c r="E153" s="79">
        <v>0.8</v>
      </c>
      <c r="F153" s="165">
        <f>(0.68)*((B8/1000)*(D8/1000)*(F8/1000))^-0.13</f>
        <v>0.88358252897553302</v>
      </c>
      <c r="G153" s="33"/>
      <c r="H153" s="50"/>
      <c r="I153" s="33"/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72"/>
      <c r="U153" s="172"/>
      <c r="V153" s="172"/>
      <c r="W153" s="175"/>
      <c r="X153" s="175"/>
    </row>
    <row r="154" spans="1:24">
      <c r="A154" s="74" t="s">
        <v>171</v>
      </c>
      <c r="B154" s="125">
        <f>MIN(C153,1)</f>
        <v>0.88358252897553302</v>
      </c>
      <c r="C154" s="105" t="str">
        <f>IF(B154 &gt;1,"✗use1","✓ ok")</f>
        <v>✓ ok</v>
      </c>
      <c r="D154" s="108" t="s">
        <v>171</v>
      </c>
      <c r="E154" s="105">
        <f>MIN(F153,1)</f>
        <v>0.88358252897553302</v>
      </c>
      <c r="F154" s="104" t="str">
        <f>IF(E154 &gt;1,"✗use1","✓ ok")</f>
        <v>✓ ok</v>
      </c>
      <c r="G154" s="33"/>
      <c r="H154" s="33"/>
      <c r="I154" s="33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175"/>
      <c r="X154" s="175"/>
    </row>
    <row r="155" spans="1:24">
      <c r="A155" s="75" t="s">
        <v>172</v>
      </c>
      <c r="B155" s="125">
        <f>((1)+((B30*C122*B51*B44*B52)*(B154)*(MAX(B22,E22))^3)/(35*0.87*B37*B48*B52))^-1</f>
        <v>0.68693314716580522</v>
      </c>
      <c r="C155" s="105"/>
      <c r="D155" s="109" t="s">
        <v>172</v>
      </c>
      <c r="E155" s="105">
        <f>((1)+((D30*C122*B51*B44*B52)*(B154)*(MAX(B22,E22))^3)/(35*0.87*D37*B48*B52))^-1</f>
        <v>0.67907341961896595</v>
      </c>
      <c r="F155" s="104"/>
      <c r="G155" s="33"/>
      <c r="H155" s="33"/>
      <c r="I155" s="33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172"/>
      <c r="V155" s="172"/>
      <c r="W155" s="175"/>
      <c r="X155" s="175"/>
    </row>
    <row r="156" spans="1:24">
      <c r="A156" s="74" t="s">
        <v>173</v>
      </c>
      <c r="B156" s="125">
        <f>((1)+((B30*C123*B51*B44*B52)*(B154)*(MAX(B22,E22))^3)/(35*0.87*B37*B48*B52))^-1</f>
        <v>0.58783857694891994</v>
      </c>
      <c r="C156" s="105"/>
      <c r="D156" s="108" t="s">
        <v>173</v>
      </c>
      <c r="E156" s="105">
        <f>((1)+((D30*C123*B51*B44*B52)*(B154)*(MAX(B22,E22))^3)/(35*0.87*D37*B48*B52))^-1</f>
        <v>0.5790156773673123</v>
      </c>
      <c r="F156" s="104"/>
      <c r="G156" s="33"/>
      <c r="H156" s="33"/>
      <c r="I156" s="33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5"/>
      <c r="X156" s="175"/>
    </row>
    <row r="157" spans="1:24">
      <c r="A157" s="74" t="s">
        <v>174</v>
      </c>
      <c r="B157" s="125">
        <f>((1)+((B30*C125*B51*B44*B52)*(B154)*(MAX(B22,E22))^3)/(35*0.87*B37*B48*B52))^-1</f>
        <v>0.55361195337099811</v>
      </c>
      <c r="C157" s="105"/>
      <c r="D157" s="108" t="s">
        <v>174</v>
      </c>
      <c r="E157" s="105">
        <f>((1)+((D30*C125*B51*B44*B52)*(B154)*(MAX(B22,E22))^3)/(35*0.87*D37*B48*B52))^-1</f>
        <v>0.54462395532876973</v>
      </c>
      <c r="F157" s="104"/>
      <c r="G157" s="33"/>
      <c r="H157" s="33"/>
      <c r="I157" s="33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5"/>
      <c r="X157" s="175"/>
    </row>
    <row r="158" spans="1:24">
      <c r="A158" s="135" t="s">
        <v>175</v>
      </c>
      <c r="B158" s="125">
        <f>(B153*(B30*C122*B51*B44*B52)*B8*D8*B154*B155)*10^-3</f>
        <v>317.83564518273056</v>
      </c>
      <c r="C158" s="105" t="str">
        <f>IF(B158 &lt;B162,"✗fails","✓ ok")</f>
        <v>✓ ok</v>
      </c>
      <c r="D158" s="110" t="s">
        <v>175</v>
      </c>
      <c r="E158" s="105">
        <f>(B153*(D30*C122*B51*B44*B52)*B8*D8*B154*E155)*10^-3</f>
        <v>262.17933511674028</v>
      </c>
      <c r="F158" s="104" t="str">
        <f>IF(E158 &lt;B162,"✗fails","✓ ok")</f>
        <v>✓ ok</v>
      </c>
      <c r="G158" s="33"/>
      <c r="H158" s="33"/>
      <c r="I158" s="33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5"/>
      <c r="X158" s="175"/>
    </row>
    <row r="159" spans="1:24">
      <c r="A159" s="136" t="s">
        <v>176</v>
      </c>
      <c r="B159" s="125">
        <f>B153*(B30*C123*B51*B44*B52)*B8*D8*B154*B156*10^-3</f>
        <v>418.43967391926964</v>
      </c>
      <c r="C159" s="105" t="str">
        <f>IF(B159 &lt;B163,"✗fails","✓ ok")</f>
        <v>✓ ok</v>
      </c>
      <c r="D159" s="111" t="s">
        <v>176</v>
      </c>
      <c r="E159" s="105">
        <f>(B153*(D30*C123*B51*B44*B52)*B8*D8*B154*E156)*10^-3</f>
        <v>343.92099797830303</v>
      </c>
      <c r="F159" s="104" t="str">
        <f>IF(E159 &lt;B163,"✗fails","✓ ok")</f>
        <v>✓ ok</v>
      </c>
      <c r="G159" s="33"/>
      <c r="H159" s="33"/>
      <c r="I159" s="33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5"/>
      <c r="X159" s="175"/>
    </row>
    <row r="160" spans="1:24">
      <c r="A160" s="134" t="s">
        <v>177</v>
      </c>
      <c r="B160" s="77">
        <f>B153*(B30*C125*B51*B44*B52)*B8*D8*B154*B157*10^-3</f>
        <v>453.18765470622526</v>
      </c>
      <c r="C160" s="77" t="str">
        <f>IF(B160 &lt;B164,"✗fails","✓ ok")</f>
        <v>✓ ok</v>
      </c>
      <c r="D160" s="112" t="s">
        <v>177</v>
      </c>
      <c r="E160" s="77">
        <f>(B153*(D30*C125*B51*B44*B52)*B8*D8*B154*E157)*10^-3</f>
        <v>372.01714011423729</v>
      </c>
      <c r="F160" s="106" t="str">
        <f>IF(E160 &lt;B164,"✗fails","✓ ok")</f>
        <v>✓ ok</v>
      </c>
      <c r="G160" s="33"/>
      <c r="H160" s="33"/>
      <c r="I160" s="33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5"/>
      <c r="X160" s="175"/>
    </row>
    <row r="161" spans="1:24">
      <c r="A161" s="33"/>
      <c r="B161" s="33"/>
      <c r="C161" s="33"/>
      <c r="D161" s="33"/>
      <c r="E161" s="33"/>
      <c r="F161" s="33"/>
      <c r="G161" s="33"/>
      <c r="H161" s="33"/>
      <c r="I161" s="33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5"/>
      <c r="X161" s="175"/>
    </row>
    <row r="162" spans="1:24">
      <c r="A162" s="73" t="s">
        <v>178</v>
      </c>
      <c r="B162" s="77">
        <f>MAX(D122)</f>
        <v>14</v>
      </c>
      <c r="C162" s="33"/>
      <c r="D162" s="33"/>
      <c r="E162" s="33"/>
      <c r="F162" s="33"/>
      <c r="G162" s="33"/>
      <c r="H162" s="33"/>
      <c r="I162" s="33"/>
      <c r="J162" s="172"/>
      <c r="K162" s="172"/>
      <c r="L162" s="172"/>
      <c r="M162" s="172"/>
      <c r="N162" s="172"/>
      <c r="O162" s="172"/>
      <c r="P162" s="172"/>
      <c r="Q162" s="172"/>
      <c r="R162" s="172"/>
      <c r="S162" s="172"/>
      <c r="T162" s="172"/>
      <c r="U162" s="172"/>
      <c r="V162" s="172"/>
      <c r="W162" s="175"/>
      <c r="X162" s="175"/>
    </row>
    <row r="163" spans="1:24">
      <c r="A163" s="73" t="s">
        <v>179</v>
      </c>
      <c r="B163" s="78">
        <f>MAX(D123,D124,D126,D127,D130,D131,D133,D134)</f>
        <v>42.5</v>
      </c>
      <c r="C163" s="33"/>
      <c r="D163" s="33"/>
      <c r="E163" s="33"/>
      <c r="F163" s="33"/>
      <c r="G163" s="33"/>
      <c r="H163" s="33"/>
      <c r="I163" s="33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172"/>
      <c r="V163" s="172"/>
      <c r="W163" s="175"/>
      <c r="X163" s="175"/>
    </row>
    <row r="164" spans="1:24">
      <c r="A164" s="73" t="s">
        <v>180</v>
      </c>
      <c r="B164" s="79">
        <f>MAX(D125,D128,D132,D135,D137,D138,D139,D140,D141,D142,D144,D145)</f>
        <v>36.5</v>
      </c>
      <c r="C164" s="33"/>
      <c r="D164" s="33"/>
      <c r="E164" s="33"/>
      <c r="F164" s="33"/>
      <c r="G164" s="33"/>
      <c r="H164" s="33"/>
      <c r="I164" s="33"/>
      <c r="J164" s="172"/>
      <c r="K164" s="172"/>
      <c r="L164" s="172"/>
      <c r="M164" s="172"/>
      <c r="N164" s="172"/>
      <c r="O164" s="172"/>
      <c r="P164" s="172"/>
      <c r="Q164" s="172"/>
      <c r="R164" s="172"/>
      <c r="S164" s="172"/>
      <c r="T164" s="172"/>
      <c r="U164" s="172"/>
      <c r="V164" s="172"/>
      <c r="W164" s="175"/>
      <c r="X164" s="175"/>
    </row>
    <row r="165" spans="1:24">
      <c r="A165" s="33"/>
      <c r="B165" s="33"/>
      <c r="C165" s="33"/>
      <c r="D165" s="33"/>
      <c r="E165" s="33"/>
      <c r="F165" s="33"/>
      <c r="G165" s="33"/>
      <c r="H165" s="33"/>
      <c r="I165" s="33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  <c r="V165" s="172"/>
      <c r="W165" s="175"/>
      <c r="X165" s="175"/>
    </row>
    <row r="166" spans="1:24">
      <c r="A166" s="33"/>
      <c r="B166" s="33"/>
      <c r="C166" s="33"/>
      <c r="D166" s="33"/>
      <c r="E166" s="33"/>
      <c r="F166" s="33"/>
      <c r="G166" s="33"/>
      <c r="H166" s="33"/>
      <c r="I166" s="33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  <c r="V166" s="172"/>
      <c r="W166" s="175"/>
      <c r="X166" s="175"/>
    </row>
    <row r="167" spans="1:24" ht="21">
      <c r="A167" s="163" t="s">
        <v>197</v>
      </c>
      <c r="B167" s="33"/>
      <c r="C167" s="33"/>
      <c r="D167" s="33"/>
      <c r="E167" s="33"/>
      <c r="F167" s="33"/>
      <c r="G167" s="33"/>
      <c r="H167" s="33"/>
      <c r="I167" s="33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  <c r="T167" s="172"/>
      <c r="U167" s="172"/>
      <c r="V167" s="172"/>
      <c r="W167" s="175"/>
      <c r="X167" s="175"/>
    </row>
    <row r="168" spans="1:24">
      <c r="A168" s="131"/>
      <c r="B168" s="145" t="s">
        <v>69</v>
      </c>
      <c r="C168" s="113"/>
      <c r="D168" s="148"/>
      <c r="E168" s="114" t="s">
        <v>68</v>
      </c>
      <c r="F168" s="115"/>
      <c r="G168" s="33"/>
      <c r="H168" s="33"/>
      <c r="I168" s="33"/>
      <c r="J168" s="172"/>
      <c r="K168" s="172"/>
      <c r="L168" s="172"/>
      <c r="M168" s="172"/>
      <c r="N168" s="172"/>
      <c r="O168" s="172"/>
      <c r="P168" s="172"/>
      <c r="Q168" s="172"/>
      <c r="R168" s="172"/>
      <c r="S168" s="172"/>
      <c r="T168" s="172"/>
      <c r="U168" s="172"/>
      <c r="V168" s="172"/>
      <c r="W168" s="175"/>
      <c r="X168" s="175"/>
    </row>
    <row r="169" spans="1:24">
      <c r="A169" s="74" t="s">
        <v>170</v>
      </c>
      <c r="B169" s="130">
        <v>0.9</v>
      </c>
      <c r="C169" s="105"/>
      <c r="D169" s="108" t="s">
        <v>170</v>
      </c>
      <c r="E169" s="65">
        <v>0.9</v>
      </c>
      <c r="F169" s="104"/>
      <c r="G169" s="33"/>
      <c r="H169" s="33"/>
      <c r="I169" s="33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175"/>
      <c r="X169" s="175"/>
    </row>
    <row r="170" spans="1:24">
      <c r="A170" s="74" t="s">
        <v>181</v>
      </c>
      <c r="B170" s="130">
        <f>(1/6)*(D8)*(B8^2)</f>
        <v>2534219.9999999995</v>
      </c>
      <c r="C170" s="105" t="s">
        <v>182</v>
      </c>
      <c r="D170" s="108" t="s">
        <v>181</v>
      </c>
      <c r="E170" s="65">
        <f>(1/6)*(D8)*(B8^2)</f>
        <v>2534219.9999999995</v>
      </c>
      <c r="F170" s="104" t="s">
        <v>182</v>
      </c>
      <c r="G170" s="33"/>
      <c r="H170" s="33"/>
      <c r="I170" s="33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2"/>
      <c r="V170" s="172"/>
      <c r="W170" s="175"/>
      <c r="X170" s="175"/>
    </row>
    <row r="171" spans="1:24">
      <c r="A171" s="74" t="s">
        <v>183</v>
      </c>
      <c r="B171" s="130">
        <f>1.03*((D8/1000)*(F8/1000))^-0.18</f>
        <v>1.2202409502092184</v>
      </c>
      <c r="C171" s="105"/>
      <c r="D171" s="108" t="s">
        <v>183</v>
      </c>
      <c r="E171" s="65">
        <f>1.03*((D8/1000)*(F8/1000))^-0.18</f>
        <v>1.2202409502092184</v>
      </c>
      <c r="F171" s="104"/>
      <c r="G171" s="33"/>
      <c r="H171" s="33"/>
      <c r="I171" s="33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  <c r="U171" s="172"/>
      <c r="V171" s="172"/>
      <c r="W171" s="175"/>
      <c r="X171" s="175"/>
    </row>
    <row r="172" spans="1:24">
      <c r="A172" s="74" t="s">
        <v>183</v>
      </c>
      <c r="B172" s="130">
        <f>MIN(B171,1)</f>
        <v>1</v>
      </c>
      <c r="C172" s="105"/>
      <c r="D172" s="108" t="s">
        <v>183</v>
      </c>
      <c r="E172" s="65">
        <f>MIN(E171,1)</f>
        <v>1</v>
      </c>
      <c r="F172" s="104"/>
      <c r="G172" s="33"/>
      <c r="H172" s="33"/>
      <c r="I172" s="33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/>
      <c r="U172" s="172"/>
      <c r="V172" s="172"/>
      <c r="W172" s="175"/>
      <c r="X172" s="175"/>
    </row>
    <row r="173" spans="1:24">
      <c r="A173" s="74" t="s">
        <v>184</v>
      </c>
      <c r="B173" s="130">
        <f>B20</f>
        <v>5760</v>
      </c>
      <c r="C173" s="105"/>
      <c r="D173" s="108" t="s">
        <v>184</v>
      </c>
      <c r="E173" s="65">
        <f>B20</f>
        <v>5760</v>
      </c>
      <c r="F173" s="104"/>
      <c r="G173" s="33"/>
      <c r="H173" s="33"/>
      <c r="I173" s="33"/>
      <c r="J173" s="172"/>
      <c r="K173" s="172"/>
      <c r="L173" s="172"/>
      <c r="M173" s="172"/>
      <c r="N173" s="172"/>
      <c r="O173" s="172"/>
      <c r="P173" s="172"/>
      <c r="Q173" s="172"/>
      <c r="R173" s="172"/>
      <c r="S173" s="172"/>
      <c r="T173" s="172"/>
      <c r="U173" s="172"/>
      <c r="V173" s="172"/>
      <c r="W173" s="175"/>
      <c r="X173" s="175"/>
    </row>
    <row r="174" spans="1:24">
      <c r="A174" s="74" t="s">
        <v>185</v>
      </c>
      <c r="B174" s="130">
        <f>SQRT((B173*B8)/D8^2)</f>
        <v>10.796449120403775</v>
      </c>
      <c r="C174" s="105" t="str">
        <f>IF(B174 &gt;50,"✗fails","✓ ok")</f>
        <v>✓ ok</v>
      </c>
      <c r="D174" s="108" t="s">
        <v>185</v>
      </c>
      <c r="E174" s="65">
        <f>SQRT((B173*B8)/D8^2)</f>
        <v>10.796449120403775</v>
      </c>
      <c r="F174" s="104" t="str">
        <f>IF(E174 &gt;50,"✗fails","✓ ok")</f>
        <v>✓ ok</v>
      </c>
      <c r="G174" s="33"/>
      <c r="H174" s="33"/>
      <c r="I174" s="33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172"/>
      <c r="U174" s="172"/>
      <c r="V174" s="172"/>
      <c r="W174" s="175"/>
      <c r="X174" s="175"/>
    </row>
    <row r="175" spans="1:24">
      <c r="A175" s="74" t="s">
        <v>186</v>
      </c>
      <c r="B175" s="130">
        <f>SQRT((0.97*B37*B48*B52)/(B27*1.15*B51*B42*B52))</f>
        <v>19.923125916671815</v>
      </c>
      <c r="C175" s="105"/>
      <c r="D175" s="108" t="s">
        <v>186</v>
      </c>
      <c r="E175" s="65">
        <f>SQRT((0.97*D37*B48*B52)/(D27*1.15*B51*B42*B52))</f>
        <v>19.539427635858644</v>
      </c>
      <c r="F175" s="104"/>
      <c r="G175" s="33"/>
      <c r="H175" s="33"/>
      <c r="I175" s="33"/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  <c r="U175" s="172"/>
      <c r="V175" s="172"/>
      <c r="W175" s="175"/>
      <c r="X175" s="175"/>
    </row>
    <row r="176" spans="1:24">
      <c r="A176" s="74" t="s">
        <v>187</v>
      </c>
      <c r="B176" s="130">
        <f>(1)-((1/3)*(B174/B175)^4)</f>
        <v>0.97125431938422435</v>
      </c>
      <c r="C176" s="116"/>
      <c r="D176" s="108" t="s">
        <v>187</v>
      </c>
      <c r="E176" s="65">
        <f>(1)-((1/3)*(E174/E175)^4)</f>
        <v>0.96892900482642963</v>
      </c>
      <c r="F176" s="104"/>
      <c r="G176" s="33"/>
      <c r="H176" s="33"/>
      <c r="I176" s="33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5"/>
      <c r="X176" s="175"/>
    </row>
    <row r="177" spans="1:24">
      <c r="A177" s="132" t="s">
        <v>188</v>
      </c>
      <c r="B177" s="118">
        <f>(0.65*B37*B48*B52)/((B174^2)*(B27*1.15*B51*B42*B52))</f>
        <v>2.2818899574407272</v>
      </c>
      <c r="C177" s="77"/>
      <c r="D177" s="119" t="s">
        <v>188</v>
      </c>
      <c r="E177" s="118">
        <f>(0.65*D37*B48*B52)/((E174^2)*(D27*1.15*B51*B42*B52))</f>
        <v>2.1948427636296644</v>
      </c>
      <c r="F177" s="106"/>
      <c r="G177" s="33"/>
      <c r="H177" s="33"/>
      <c r="I177" s="33"/>
      <c r="J177" s="172"/>
      <c r="K177" s="172"/>
      <c r="L177" s="172"/>
      <c r="M177" s="172"/>
      <c r="N177" s="172"/>
      <c r="O177" s="172"/>
      <c r="P177" s="172"/>
      <c r="Q177" s="172"/>
      <c r="R177" s="172"/>
      <c r="S177" s="172"/>
      <c r="T177" s="172"/>
      <c r="U177" s="172"/>
      <c r="V177" s="172"/>
      <c r="W177" s="175"/>
      <c r="X177" s="175"/>
    </row>
    <row r="178" spans="1:24">
      <c r="A178" s="76" t="s">
        <v>189</v>
      </c>
      <c r="B178" s="80">
        <f>IF(B174&lt;10, 1, IF(B175&gt;B174&gt;10, B176, IF(B175&lt;B174&lt;50, B177)))</f>
        <v>0.97125431938422435</v>
      </c>
      <c r="C178" s="33"/>
      <c r="D178" s="76" t="s">
        <v>189</v>
      </c>
      <c r="E178" s="80">
        <f>IF(E174&lt;10, 1, IF(E175&gt;E174&gt;10, E176, IF(E175&lt;E174&lt;50, E177)))</f>
        <v>0.96892900482642963</v>
      </c>
      <c r="F178" s="33"/>
      <c r="G178" s="33"/>
      <c r="H178" s="33"/>
      <c r="I178" s="33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U178" s="172"/>
      <c r="V178" s="172"/>
      <c r="W178" s="175"/>
      <c r="X178" s="175"/>
    </row>
    <row r="179" spans="1:24">
      <c r="A179" s="33"/>
      <c r="B179" s="33"/>
      <c r="C179" s="33"/>
      <c r="D179" s="33"/>
      <c r="E179" s="33"/>
      <c r="F179" s="33"/>
      <c r="G179" s="33"/>
      <c r="H179" s="33"/>
      <c r="I179" s="33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172"/>
      <c r="U179" s="172"/>
      <c r="V179" s="172"/>
      <c r="W179" s="175"/>
      <c r="X179" s="175"/>
    </row>
    <row r="180" spans="1:24">
      <c r="A180" s="33"/>
      <c r="B180" s="33"/>
      <c r="C180" s="33"/>
      <c r="D180" s="33"/>
      <c r="E180" s="33"/>
      <c r="F180" s="33"/>
      <c r="G180" s="33"/>
      <c r="H180" s="33"/>
      <c r="I180" s="33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2"/>
      <c r="U180" s="172"/>
      <c r="V180" s="172"/>
      <c r="W180" s="175"/>
      <c r="X180" s="175"/>
    </row>
    <row r="181" spans="1:24" ht="18">
      <c r="A181" s="33"/>
      <c r="B181" s="82" t="s">
        <v>195</v>
      </c>
      <c r="C181" s="33"/>
      <c r="D181" s="33"/>
      <c r="E181" s="60" t="s">
        <v>195</v>
      </c>
      <c r="F181" s="33"/>
      <c r="G181" s="33"/>
      <c r="H181" s="33"/>
      <c r="I181" s="33"/>
      <c r="J181" s="172"/>
      <c r="K181" s="172"/>
      <c r="L181" s="172"/>
      <c r="M181" s="172"/>
      <c r="N181" s="172"/>
      <c r="O181" s="172"/>
      <c r="P181" s="172"/>
      <c r="Q181" s="172"/>
      <c r="R181" s="172"/>
      <c r="S181" s="172"/>
      <c r="T181" s="172"/>
      <c r="U181" s="172"/>
      <c r="V181" s="172"/>
      <c r="W181" s="175"/>
      <c r="X181" s="175"/>
    </row>
    <row r="182" spans="1:24">
      <c r="A182" s="73" t="s">
        <v>190</v>
      </c>
      <c r="B182" s="137">
        <f>B169*B27*1.15*B51*B42*B52*(1/6)*(D8)*(B8^2)*1*B172*10^-6</f>
        <v>64.209025295999993</v>
      </c>
      <c r="C182" s="102" t="s">
        <v>193</v>
      </c>
      <c r="D182" s="73" t="s">
        <v>190</v>
      </c>
      <c r="E182" s="137">
        <f>B169*D27*1.15*B51*B42*B52*(1/6)*(D8)*(B8^2)*1*E172*10^-6</f>
        <v>53.717354496000006</v>
      </c>
      <c r="F182" s="102" t="s">
        <v>193</v>
      </c>
      <c r="G182" s="33"/>
      <c r="H182" s="33"/>
      <c r="I182" s="33"/>
      <c r="J182" s="172"/>
      <c r="K182" s="172"/>
      <c r="L182" s="172"/>
      <c r="M182" s="172"/>
      <c r="N182" s="172"/>
      <c r="O182" s="172"/>
      <c r="P182" s="172"/>
      <c r="Q182" s="172"/>
      <c r="R182" s="172"/>
      <c r="S182" s="172"/>
      <c r="T182" s="172"/>
      <c r="U182" s="172"/>
      <c r="V182" s="172"/>
      <c r="W182" s="175"/>
      <c r="X182" s="175"/>
    </row>
    <row r="183" spans="1:24">
      <c r="A183" s="73" t="s">
        <v>191</v>
      </c>
      <c r="B183" s="130">
        <f>B169*B27*1.15*B51*B42*B52*(1/6)*(D8)*(B8^2)*1*B178*10^-6</f>
        <v>62.363293162190921</v>
      </c>
      <c r="C183" s="104" t="s">
        <v>193</v>
      </c>
      <c r="D183" s="73" t="s">
        <v>191</v>
      </c>
      <c r="E183" s="130">
        <f>E169*D27*1.15*B51*B42*B52*(1/6)*(D8)*(B8^2)*1*E178*10^-6</f>
        <v>52.04830283371782</v>
      </c>
      <c r="F183" s="104" t="s">
        <v>193</v>
      </c>
      <c r="G183" s="33"/>
      <c r="H183" s="33"/>
      <c r="I183" s="33"/>
      <c r="J183" s="172"/>
      <c r="K183" s="172"/>
      <c r="L183" s="172"/>
      <c r="M183" s="172"/>
      <c r="N183" s="172"/>
      <c r="O183" s="172"/>
      <c r="P183" s="172"/>
      <c r="Q183" s="172"/>
      <c r="R183" s="172"/>
      <c r="S183" s="172"/>
      <c r="T183" s="172"/>
      <c r="U183" s="172"/>
      <c r="V183" s="172"/>
      <c r="W183" s="175"/>
      <c r="X183" s="175"/>
    </row>
    <row r="184" spans="1:24">
      <c r="A184" s="73" t="s">
        <v>192</v>
      </c>
      <c r="B184" s="140">
        <f>MIN(B182,B183)</f>
        <v>62.363293162190921</v>
      </c>
      <c r="C184" s="104" t="str">
        <f>IF(B184 &lt;B185,"✗fails","✓ ok")</f>
        <v>✓ ok</v>
      </c>
      <c r="D184" s="73" t="s">
        <v>192</v>
      </c>
      <c r="E184" s="142">
        <f>MIN(E182:E183)</f>
        <v>52.04830283371782</v>
      </c>
      <c r="F184" s="104" t="str">
        <f>IF(E184 &lt;E185,"✗fails","✓ ok")</f>
        <v>✓ ok</v>
      </c>
      <c r="G184" s="33"/>
      <c r="H184" s="33"/>
      <c r="I184" s="33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  <c r="U184" s="172"/>
      <c r="V184" s="172"/>
      <c r="W184" s="175"/>
      <c r="X184" s="175"/>
    </row>
    <row r="185" spans="1:24">
      <c r="A185" s="73" t="s">
        <v>194</v>
      </c>
      <c r="B185" s="141">
        <f>MAX(J129,J136,J143)</f>
        <v>15.75</v>
      </c>
      <c r="C185" s="106" t="s">
        <v>193</v>
      </c>
      <c r="D185" s="73" t="s">
        <v>194</v>
      </c>
      <c r="E185" s="141">
        <f>MAX(J129,J136,J143)</f>
        <v>15.75</v>
      </c>
      <c r="F185" s="106" t="s">
        <v>193</v>
      </c>
      <c r="G185" s="33"/>
      <c r="H185" s="33"/>
      <c r="I185" s="33"/>
      <c r="J185" s="172"/>
      <c r="K185" s="172"/>
      <c r="L185" s="172"/>
      <c r="M185" s="172"/>
      <c r="N185" s="172"/>
      <c r="O185" s="172"/>
      <c r="P185" s="172"/>
      <c r="Q185" s="172"/>
      <c r="R185" s="172"/>
      <c r="S185" s="172"/>
      <c r="T185" s="172"/>
      <c r="U185" s="172"/>
      <c r="V185" s="172"/>
      <c r="W185" s="175"/>
      <c r="X185" s="175"/>
    </row>
    <row r="186" spans="1:24">
      <c r="A186" s="33"/>
      <c r="B186" s="33"/>
      <c r="C186" s="33"/>
      <c r="D186" s="33"/>
      <c r="E186" s="33"/>
      <c r="F186" s="33"/>
      <c r="G186" s="33"/>
      <c r="H186" s="33"/>
      <c r="I186" s="33"/>
      <c r="J186" s="172"/>
      <c r="K186" s="172"/>
      <c r="L186" s="172"/>
      <c r="M186" s="172"/>
      <c r="N186" s="172"/>
      <c r="O186" s="172"/>
      <c r="P186" s="172"/>
      <c r="Q186" s="172"/>
      <c r="R186" s="172"/>
      <c r="S186" s="172"/>
      <c r="T186" s="172"/>
      <c r="U186" s="172"/>
      <c r="V186" s="172"/>
      <c r="W186" s="175"/>
      <c r="X186" s="175"/>
    </row>
    <row r="187" spans="1:24">
      <c r="A187" s="33"/>
      <c r="B187" s="33"/>
      <c r="C187" s="33"/>
      <c r="D187" s="33"/>
      <c r="E187" s="33"/>
      <c r="F187" s="33"/>
      <c r="G187" s="33"/>
      <c r="H187" s="33"/>
      <c r="I187" s="33"/>
      <c r="J187" s="172"/>
      <c r="K187" s="172"/>
      <c r="L187" s="172"/>
      <c r="M187" s="172"/>
      <c r="N187" s="172"/>
      <c r="O187" s="172"/>
      <c r="P187" s="172"/>
      <c r="Q187" s="172"/>
      <c r="R187" s="172"/>
      <c r="S187" s="172"/>
      <c r="T187" s="172"/>
      <c r="U187" s="172"/>
      <c r="V187" s="172"/>
      <c r="W187" s="175"/>
      <c r="X187" s="175"/>
    </row>
    <row r="188" spans="1:24" ht="21">
      <c r="A188" s="163" t="s">
        <v>196</v>
      </c>
      <c r="B188" s="33"/>
      <c r="C188" s="33"/>
      <c r="D188" s="33"/>
      <c r="E188" s="33"/>
      <c r="F188" s="33"/>
      <c r="G188" s="33"/>
      <c r="H188" s="33"/>
      <c r="I188" s="33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  <c r="V188" s="172"/>
      <c r="W188" s="175"/>
      <c r="X188" s="175"/>
    </row>
    <row r="189" spans="1:24">
      <c r="A189" s="50"/>
      <c r="B189" s="81" t="s">
        <v>69</v>
      </c>
      <c r="C189" s="33"/>
      <c r="D189" s="33"/>
      <c r="E189" s="150" t="s">
        <v>234</v>
      </c>
      <c r="F189" s="86"/>
      <c r="G189" s="86"/>
      <c r="H189" s="33"/>
      <c r="I189" s="33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  <c r="V189" s="172"/>
      <c r="W189" s="175"/>
      <c r="X189" s="175"/>
    </row>
    <row r="190" spans="1:24">
      <c r="A190" s="62" t="s">
        <v>198</v>
      </c>
      <c r="B190" s="137">
        <f>((PI())^2*0.87*B37*B48*B52*(1/12)*(D8)*(B8)^3)/(B14*F8)^2*10^-3</f>
        <v>4762.8772847295322</v>
      </c>
      <c r="C190" s="122" t="s">
        <v>90</v>
      </c>
      <c r="D190" s="50"/>
      <c r="E190" s="62" t="s">
        <v>198</v>
      </c>
      <c r="F190" s="137">
        <f>((PI())^2*0.87*D37*B48*B52*(1/12)*(D8)*(B8)^3)/(B14*F8)^2*10^-3</f>
        <v>3832.6278150557946</v>
      </c>
      <c r="G190" s="122" t="s">
        <v>90</v>
      </c>
      <c r="H190" s="33"/>
      <c r="I190" s="33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5"/>
      <c r="X190" s="175"/>
    </row>
    <row r="191" spans="1:24">
      <c r="A191" s="139" t="s">
        <v>199</v>
      </c>
      <c r="B191" s="125"/>
      <c r="C191" s="104"/>
      <c r="D191" s="50"/>
      <c r="E191" s="62"/>
      <c r="F191" s="130"/>
      <c r="G191" s="104"/>
      <c r="H191" s="33"/>
      <c r="I191" s="33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  <c r="V191" s="172"/>
      <c r="W191" s="175"/>
      <c r="X191" s="175"/>
    </row>
    <row r="192" spans="1:24">
      <c r="A192" s="62" t="s">
        <v>232</v>
      </c>
      <c r="B192" s="130">
        <f>D122</f>
        <v>14</v>
      </c>
      <c r="C192" s="104"/>
      <c r="D192" s="50"/>
      <c r="E192" s="50"/>
      <c r="F192" s="130"/>
      <c r="G192" s="104"/>
      <c r="H192" s="33"/>
      <c r="I192" s="33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2"/>
      <c r="V192" s="172"/>
      <c r="W192" s="175"/>
      <c r="X192" s="175"/>
    </row>
    <row r="193" spans="1:24">
      <c r="A193" s="62" t="s">
        <v>231</v>
      </c>
      <c r="B193" s="130">
        <f>MAX(D125)</f>
        <v>36.5</v>
      </c>
      <c r="C193" s="104"/>
      <c r="D193" s="50"/>
      <c r="E193" s="50"/>
      <c r="F193" s="130"/>
      <c r="G193" s="104"/>
      <c r="H193" s="33"/>
      <c r="I193" s="33"/>
      <c r="J193" s="172"/>
      <c r="K193" s="172"/>
      <c r="L193" s="172"/>
      <c r="M193" s="172"/>
      <c r="N193" s="172"/>
      <c r="O193" s="172"/>
      <c r="P193" s="172"/>
      <c r="Q193" s="172"/>
      <c r="R193" s="172"/>
      <c r="S193" s="172"/>
      <c r="T193" s="172"/>
      <c r="U193" s="172"/>
      <c r="V193" s="172"/>
      <c r="W193" s="175"/>
      <c r="X193" s="175"/>
    </row>
    <row r="194" spans="1:24">
      <c r="A194" s="62" t="s">
        <v>272</v>
      </c>
      <c r="B194" s="130">
        <f>MAX(D123,D124)</f>
        <v>42.5</v>
      </c>
      <c r="C194" s="104"/>
      <c r="D194" s="50"/>
      <c r="E194" s="50"/>
      <c r="F194" s="130"/>
      <c r="G194" s="104"/>
      <c r="H194" s="33"/>
      <c r="I194" s="33"/>
      <c r="J194" s="172"/>
      <c r="K194" s="172"/>
      <c r="L194" s="172"/>
      <c r="M194" s="172"/>
      <c r="N194" s="172"/>
      <c r="O194" s="172"/>
      <c r="P194" s="172"/>
      <c r="Q194" s="172"/>
      <c r="R194" s="172"/>
      <c r="S194" s="172"/>
      <c r="T194" s="172"/>
      <c r="U194" s="172"/>
      <c r="V194" s="172"/>
      <c r="W194" s="175"/>
      <c r="X194" s="175"/>
    </row>
    <row r="195" spans="1:24">
      <c r="A195" s="62" t="s">
        <v>233</v>
      </c>
      <c r="B195" s="130">
        <f>MAX(D132)</f>
        <v>6.5</v>
      </c>
      <c r="C195" s="104"/>
      <c r="D195" s="50"/>
      <c r="E195" s="50"/>
      <c r="F195" s="130"/>
      <c r="G195" s="104"/>
      <c r="H195" s="33"/>
      <c r="I195" s="33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  <c r="V195" s="172"/>
      <c r="W195" s="175"/>
      <c r="X195" s="175"/>
    </row>
    <row r="196" spans="1:24">
      <c r="A196" s="62" t="s">
        <v>200</v>
      </c>
      <c r="B196" s="130">
        <f>MAX(D137,D138,D139)</f>
        <v>1.5</v>
      </c>
      <c r="C196" s="104"/>
      <c r="D196" s="50"/>
      <c r="E196" s="50"/>
      <c r="F196" s="130"/>
      <c r="G196" s="104"/>
      <c r="H196" s="33"/>
      <c r="I196" s="33"/>
      <c r="J196" s="172"/>
      <c r="K196" s="172"/>
      <c r="L196" s="172"/>
      <c r="M196" s="172"/>
      <c r="N196" s="172"/>
      <c r="O196" s="172"/>
      <c r="P196" s="172"/>
      <c r="Q196" s="172"/>
      <c r="R196" s="172"/>
      <c r="S196" s="172"/>
      <c r="T196" s="172"/>
      <c r="U196" s="172"/>
      <c r="V196" s="172"/>
      <c r="W196" s="175"/>
      <c r="X196" s="175"/>
    </row>
    <row r="197" spans="1:24">
      <c r="A197" s="62" t="s">
        <v>273</v>
      </c>
      <c r="B197" s="130">
        <f>MAX(D130,D131)</f>
        <v>22.5</v>
      </c>
      <c r="C197" s="104"/>
      <c r="D197" s="50"/>
      <c r="E197" s="50"/>
      <c r="F197" s="130"/>
      <c r="G197" s="104"/>
      <c r="H197" s="33"/>
      <c r="I197" s="33"/>
      <c r="J197" s="172"/>
      <c r="K197" s="172"/>
      <c r="L197" s="172"/>
      <c r="M197" s="172"/>
      <c r="N197" s="172"/>
      <c r="O197" s="172"/>
      <c r="P197" s="172"/>
      <c r="Q197" s="172"/>
      <c r="R197" s="172"/>
      <c r="S197" s="172"/>
      <c r="T197" s="172"/>
      <c r="U197" s="172"/>
      <c r="V197" s="172"/>
      <c r="W197" s="175"/>
      <c r="X197" s="175"/>
    </row>
    <row r="198" spans="1:24">
      <c r="A198" s="33"/>
      <c r="B198" s="33"/>
      <c r="C198" s="33"/>
      <c r="D198" s="33"/>
      <c r="E198" s="33"/>
      <c r="F198" s="33"/>
      <c r="G198" s="33"/>
      <c r="H198" s="33"/>
      <c r="I198" s="33"/>
      <c r="J198" s="172"/>
      <c r="K198" s="172"/>
      <c r="L198" s="172"/>
      <c r="M198" s="172"/>
      <c r="N198" s="172"/>
      <c r="O198" s="172"/>
      <c r="P198" s="172"/>
      <c r="Q198" s="172"/>
      <c r="R198" s="172"/>
      <c r="S198" s="172"/>
      <c r="T198" s="172"/>
      <c r="U198" s="172"/>
      <c r="V198" s="172"/>
      <c r="W198" s="175"/>
      <c r="X198" s="175"/>
    </row>
    <row r="199" spans="1:24">
      <c r="A199" s="33"/>
      <c r="B199" s="33"/>
      <c r="C199" s="33"/>
      <c r="D199" s="33"/>
      <c r="E199" s="33"/>
      <c r="F199" s="33"/>
      <c r="G199" s="33"/>
      <c r="H199" s="33"/>
      <c r="I199" s="33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  <c r="V199" s="172"/>
      <c r="W199" s="175"/>
      <c r="X199" s="175"/>
    </row>
    <row r="200" spans="1:24">
      <c r="A200" s="33"/>
      <c r="B200" s="33"/>
      <c r="C200" s="33"/>
      <c r="D200" s="33"/>
      <c r="E200" s="33"/>
      <c r="F200" s="33"/>
      <c r="G200" s="33"/>
      <c r="H200" s="33"/>
      <c r="I200" s="33"/>
      <c r="J200" s="172"/>
      <c r="K200" s="172"/>
      <c r="L200" s="172"/>
      <c r="M200" s="172"/>
      <c r="N200" s="172"/>
      <c r="O200" s="172"/>
      <c r="P200" s="172"/>
      <c r="Q200" s="172"/>
      <c r="R200" s="172"/>
      <c r="S200" s="172"/>
      <c r="T200" s="172"/>
      <c r="U200" s="172"/>
      <c r="V200" s="172"/>
      <c r="W200" s="175"/>
      <c r="X200" s="175"/>
    </row>
    <row r="201" spans="1:24">
      <c r="A201" s="33"/>
      <c r="B201" s="33"/>
      <c r="C201" s="33"/>
      <c r="D201" s="33"/>
      <c r="E201" s="33"/>
      <c r="F201" s="33"/>
      <c r="G201" s="33"/>
      <c r="H201" s="33"/>
      <c r="I201" s="33"/>
      <c r="J201" s="172"/>
      <c r="K201" s="172"/>
      <c r="L201" s="172"/>
      <c r="M201" s="172"/>
      <c r="N201" s="172"/>
      <c r="O201" s="172"/>
      <c r="P201" s="172"/>
      <c r="Q201" s="172"/>
      <c r="R201" s="172"/>
      <c r="S201" s="172"/>
      <c r="T201" s="172"/>
      <c r="U201" s="172"/>
      <c r="V201" s="172"/>
      <c r="W201" s="175"/>
      <c r="X201" s="175"/>
    </row>
    <row r="202" spans="1:24">
      <c r="A202" s="62" t="s">
        <v>201</v>
      </c>
      <c r="B202" s="138">
        <f>B158</f>
        <v>317.83564518273056</v>
      </c>
      <c r="C202" s="143" t="str">
        <f>IF(B202 &lt;B192,"✗fails","✓ ok")</f>
        <v>✓ ok</v>
      </c>
      <c r="D202" s="50"/>
      <c r="E202" s="62" t="s">
        <v>201</v>
      </c>
      <c r="F202" s="130">
        <f>E158</f>
        <v>262.17933511674028</v>
      </c>
      <c r="G202" s="104" t="str">
        <f>IF(F202 &lt;B192,"✗fails","✓ ok")</f>
        <v>✓ ok</v>
      </c>
      <c r="H202" s="33"/>
      <c r="I202" s="33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75"/>
      <c r="X202" s="175"/>
    </row>
    <row r="203" spans="1:24">
      <c r="A203" s="62" t="s">
        <v>202</v>
      </c>
      <c r="B203" s="138">
        <f>B159</f>
        <v>418.43967391926964</v>
      </c>
      <c r="C203" s="143" t="str">
        <f>IF(B203 &lt;B194,"✗fails","✓ ok")</f>
        <v>✓ ok</v>
      </c>
      <c r="D203" s="50"/>
      <c r="E203" s="62" t="s">
        <v>202</v>
      </c>
      <c r="F203" s="130">
        <f>E159</f>
        <v>343.92099797830303</v>
      </c>
      <c r="G203" s="104" t="str">
        <f>IF(F203 &lt;B194,"✗fails","✓ ok")</f>
        <v>✓ ok</v>
      </c>
      <c r="H203" s="33"/>
      <c r="I203" s="33"/>
      <c r="J203" s="172"/>
      <c r="K203" s="172"/>
      <c r="L203" s="172"/>
      <c r="M203" s="172"/>
      <c r="N203" s="172"/>
      <c r="O203" s="172"/>
      <c r="P203" s="172"/>
      <c r="Q203" s="172"/>
      <c r="R203" s="172"/>
      <c r="S203" s="172"/>
      <c r="T203" s="172"/>
      <c r="U203" s="172"/>
      <c r="V203" s="172"/>
      <c r="W203" s="175"/>
      <c r="X203" s="175"/>
    </row>
    <row r="204" spans="1:24">
      <c r="A204" s="62" t="s">
        <v>203</v>
      </c>
      <c r="B204" s="138">
        <f>B160</f>
        <v>453.18765470622526</v>
      </c>
      <c r="C204" s="143" t="str">
        <f>IF(B204 &lt;B195,"✗fails","✓ ok")</f>
        <v>✓ ok</v>
      </c>
      <c r="D204" s="50"/>
      <c r="E204" s="62" t="s">
        <v>203</v>
      </c>
      <c r="F204" s="130">
        <f>E160</f>
        <v>372.01714011423729</v>
      </c>
      <c r="G204" s="104" t="str">
        <f>IF(F204 &lt;B195,"✗fails","✓ ok")</f>
        <v>✓ ok</v>
      </c>
      <c r="H204" s="33"/>
      <c r="I204" s="33"/>
      <c r="J204" s="172"/>
      <c r="K204" s="172"/>
      <c r="L204" s="172"/>
      <c r="M204" s="172"/>
      <c r="N204" s="172"/>
      <c r="O204" s="172"/>
      <c r="P204" s="172"/>
      <c r="Q204" s="172"/>
      <c r="R204" s="172"/>
      <c r="S204" s="172"/>
      <c r="T204" s="172"/>
      <c r="U204" s="172"/>
      <c r="V204" s="172"/>
      <c r="W204" s="175"/>
      <c r="X204" s="175"/>
    </row>
    <row r="205" spans="1:24">
      <c r="A205" s="62" t="s">
        <v>203</v>
      </c>
      <c r="B205" s="138">
        <f>B160</f>
        <v>453.18765470622526</v>
      </c>
      <c r="C205" s="143" t="str">
        <f>IF(B205 &lt;B196,"✗fails","✓ ok")</f>
        <v>✓ ok</v>
      </c>
      <c r="D205" s="50"/>
      <c r="E205" s="62" t="s">
        <v>203</v>
      </c>
      <c r="F205" s="130">
        <f>E160</f>
        <v>372.01714011423729</v>
      </c>
      <c r="G205" s="104" t="str">
        <f>IF(F205 &lt;B196,"✗fails","✓ ok")</f>
        <v>✓ ok</v>
      </c>
      <c r="H205" s="33"/>
      <c r="I205" s="33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5"/>
      <c r="X205" s="175"/>
    </row>
    <row r="206" spans="1:24">
      <c r="A206" s="50"/>
      <c r="B206" s="125"/>
      <c r="C206" s="104"/>
      <c r="D206" s="50"/>
      <c r="E206" s="74"/>
      <c r="F206" s="130"/>
      <c r="G206" s="104"/>
      <c r="H206" s="33"/>
      <c r="I206" s="33"/>
      <c r="J206" s="172"/>
      <c r="K206" s="172"/>
      <c r="L206" s="172"/>
      <c r="M206" s="172"/>
      <c r="N206" s="172"/>
      <c r="O206" s="172"/>
      <c r="P206" s="172"/>
      <c r="Q206" s="172"/>
      <c r="R206" s="172"/>
      <c r="S206" s="172"/>
      <c r="T206" s="172"/>
      <c r="U206" s="172"/>
      <c r="V206" s="172"/>
      <c r="W206" s="175"/>
      <c r="X206" s="175"/>
    </row>
    <row r="207" spans="1:24">
      <c r="A207" s="50"/>
      <c r="B207" s="125"/>
      <c r="C207" s="104"/>
      <c r="D207" s="50"/>
      <c r="E207" s="74"/>
      <c r="F207" s="130"/>
      <c r="G207" s="104"/>
      <c r="H207" s="33"/>
      <c r="I207" s="33"/>
      <c r="J207" s="172"/>
      <c r="K207" s="172"/>
      <c r="L207" s="172"/>
      <c r="M207" s="172"/>
      <c r="N207" s="172"/>
      <c r="O207" s="172"/>
      <c r="P207" s="172"/>
      <c r="Q207" s="172"/>
      <c r="R207" s="172"/>
      <c r="S207" s="172"/>
      <c r="T207" s="172"/>
      <c r="U207" s="172"/>
      <c r="V207" s="172"/>
      <c r="W207" s="175"/>
      <c r="X207" s="175"/>
    </row>
    <row r="208" spans="1:24">
      <c r="A208" s="62" t="s">
        <v>204</v>
      </c>
      <c r="B208" s="130">
        <f>(B193/B204)^2+(J129/B184)*(1/(1-(B193/B190)))</f>
        <v>7.9201865025658943E-2</v>
      </c>
      <c r="C208" s="104" t="str">
        <f>IF(B208 &gt;1,"✗fails","✓ ok")</f>
        <v>✓ ok</v>
      </c>
      <c r="D208" s="50"/>
      <c r="E208" s="62" t="s">
        <v>204</v>
      </c>
      <c r="F208" s="130">
        <f>(B193/F204)^2+(J129/E184)*(1/(1-(B193/F190)))</f>
        <v>9.6915760575740584E-2</v>
      </c>
      <c r="G208" s="104" t="str">
        <f>IF(F208 &gt;1,"✗fails","✓ ok")</f>
        <v>✓ ok</v>
      </c>
      <c r="H208" s="33"/>
      <c r="I208" s="33"/>
      <c r="J208" s="172"/>
      <c r="K208" s="172"/>
      <c r="L208" s="172"/>
      <c r="M208" s="172"/>
      <c r="N208" s="172"/>
      <c r="O208" s="172"/>
      <c r="P208" s="172"/>
      <c r="Q208" s="172"/>
      <c r="R208" s="172"/>
      <c r="S208" s="172"/>
      <c r="T208" s="172"/>
      <c r="U208" s="172"/>
      <c r="V208" s="172"/>
      <c r="W208" s="175"/>
      <c r="X208" s="175"/>
    </row>
    <row r="209" spans="1:24">
      <c r="A209" s="62" t="s">
        <v>205</v>
      </c>
      <c r="B209" s="130">
        <f>(B195/B204)^2+(J136/B184)*((1)/(1-(B195/B190)))</f>
        <v>7.2462158591432818E-2</v>
      </c>
      <c r="C209" s="104" t="str">
        <f>IF(B209 &gt;1,"✗fails","✓ ok")</f>
        <v>✓ ok</v>
      </c>
      <c r="D209" s="50"/>
      <c r="E209" s="62" t="s">
        <v>205</v>
      </c>
      <c r="F209" s="130">
        <f>(B195/F204)^2+(J136/E184)*((1)/(1-(B195/F190)))</f>
        <v>8.6910311275546548E-2</v>
      </c>
      <c r="G209" s="104" t="str">
        <f>IF(F209 &gt;1,"✗fails","✓ ok")</f>
        <v>✓ ok</v>
      </c>
      <c r="H209" s="33"/>
      <c r="I209" s="33"/>
      <c r="J209" s="172"/>
      <c r="K209" s="172"/>
      <c r="L209" s="172"/>
      <c r="M209" s="172"/>
      <c r="N209" s="172"/>
      <c r="O209" s="172"/>
      <c r="P209" s="172"/>
      <c r="Q209" s="172"/>
      <c r="R209" s="172"/>
      <c r="S209" s="172"/>
      <c r="T209" s="172"/>
      <c r="U209" s="172"/>
      <c r="V209" s="172"/>
      <c r="W209" s="175"/>
      <c r="X209" s="175"/>
    </row>
    <row r="210" spans="1:24">
      <c r="A210" s="62" t="s">
        <v>204</v>
      </c>
      <c r="B210" s="130">
        <f>(B196/B205)^2+(J143/B184)*((1)/(1-(B196/B190)))</f>
        <v>0.25264292843765196</v>
      </c>
      <c r="C210" s="104" t="str">
        <f>IF(B210 &gt;1,"✗fails","✓ ok")</f>
        <v>✓ ok</v>
      </c>
      <c r="D210" s="50"/>
      <c r="E210" s="62" t="s">
        <v>204</v>
      </c>
      <c r="F210" s="130">
        <f>(B196/F204)^2+(J143/E184)*((1)/(1-(B196/F190)))</f>
        <v>0.3027382626217473</v>
      </c>
      <c r="G210" s="104" t="str">
        <f>IF(F210 &gt;1,"✗fails","✓ ok")</f>
        <v>✓ ok</v>
      </c>
      <c r="H210" s="33"/>
      <c r="I210" s="33"/>
      <c r="J210" s="172"/>
      <c r="K210" s="172"/>
      <c r="L210" s="172"/>
      <c r="M210" s="172"/>
      <c r="N210" s="172"/>
      <c r="O210" s="172"/>
      <c r="P210" s="172"/>
      <c r="Q210" s="172"/>
      <c r="R210" s="172"/>
      <c r="S210" s="172"/>
      <c r="T210" s="172"/>
      <c r="U210" s="172"/>
      <c r="V210" s="172"/>
      <c r="W210" s="175"/>
      <c r="X210" s="175"/>
    </row>
    <row r="211" spans="1:24">
      <c r="A211" s="51"/>
      <c r="B211" s="77"/>
      <c r="C211" s="106"/>
      <c r="D211" s="50"/>
      <c r="E211" s="50"/>
      <c r="F211" s="48"/>
      <c r="G211" s="106"/>
      <c r="H211" s="33"/>
      <c r="I211" s="33"/>
      <c r="J211" s="172"/>
      <c r="K211" s="172"/>
      <c r="L211" s="172"/>
      <c r="M211" s="172"/>
      <c r="N211" s="172"/>
      <c r="O211" s="172"/>
      <c r="P211" s="172"/>
      <c r="Q211" s="172"/>
      <c r="R211" s="172"/>
      <c r="S211" s="172"/>
      <c r="T211" s="172"/>
      <c r="U211" s="172"/>
      <c r="V211" s="172"/>
      <c r="W211" s="175"/>
      <c r="X211" s="175"/>
    </row>
    <row r="212" spans="1:24">
      <c r="A212" s="33"/>
      <c r="B212" s="33"/>
      <c r="C212" s="33"/>
      <c r="D212" s="33"/>
      <c r="E212" s="33"/>
      <c r="F212" s="33"/>
      <c r="G212" s="33"/>
      <c r="H212" s="33"/>
      <c r="I212" s="33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5"/>
      <c r="X212" s="175"/>
    </row>
    <row r="213" spans="1:24" ht="21">
      <c r="A213" s="83" t="s">
        <v>213</v>
      </c>
      <c r="B213" s="33"/>
      <c r="C213" s="33"/>
      <c r="D213" s="33"/>
      <c r="E213" s="33"/>
      <c r="F213" s="33"/>
      <c r="G213" s="33"/>
      <c r="H213" s="33"/>
      <c r="I213" s="33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2"/>
      <c r="V213" s="172"/>
      <c r="W213" s="175"/>
      <c r="X213" s="175"/>
    </row>
    <row r="214" spans="1:24">
      <c r="A214" s="76"/>
      <c r="B214" s="81" t="s">
        <v>69</v>
      </c>
      <c r="C214" s="33"/>
      <c r="D214" s="33"/>
      <c r="E214" s="50"/>
      <c r="F214" s="86" t="s">
        <v>68</v>
      </c>
      <c r="G214" s="86"/>
      <c r="H214" s="86"/>
      <c r="I214" s="33"/>
      <c r="J214" s="172"/>
      <c r="K214" s="172"/>
      <c r="L214" s="172"/>
      <c r="M214" s="172"/>
      <c r="N214" s="172"/>
      <c r="O214" s="172"/>
      <c r="P214" s="172"/>
      <c r="Q214" s="172"/>
      <c r="R214" s="172"/>
      <c r="S214" s="172"/>
      <c r="T214" s="172"/>
      <c r="U214" s="172"/>
      <c r="V214" s="172"/>
      <c r="W214" s="175"/>
      <c r="X214" s="175"/>
    </row>
    <row r="215" spans="1:24">
      <c r="A215" s="74" t="s">
        <v>170</v>
      </c>
      <c r="B215" s="137">
        <v>0.9</v>
      </c>
      <c r="C215" s="79"/>
      <c r="D215" s="102"/>
      <c r="E215" s="50"/>
      <c r="F215" s="57"/>
      <c r="G215" s="79"/>
      <c r="H215" s="102"/>
      <c r="I215" s="33"/>
      <c r="J215" s="172"/>
      <c r="K215" s="172"/>
      <c r="L215" s="172"/>
      <c r="M215" s="172"/>
      <c r="N215" s="172"/>
      <c r="O215" s="172"/>
      <c r="P215" s="172"/>
      <c r="Q215" s="172"/>
      <c r="R215" s="172"/>
      <c r="S215" s="172"/>
      <c r="T215" s="172"/>
      <c r="U215" s="172"/>
      <c r="V215" s="172"/>
      <c r="W215" s="175"/>
      <c r="X215" s="175"/>
    </row>
    <row r="216" spans="1:24">
      <c r="A216" s="74" t="s">
        <v>206</v>
      </c>
      <c r="B216" s="130">
        <f>B215*B34*1.15*B46*B52*B8*D8*10^-3</f>
        <v>704.0463299999999</v>
      </c>
      <c r="C216" s="105"/>
      <c r="D216" s="104"/>
      <c r="E216" s="50"/>
      <c r="F216" s="103" t="s">
        <v>206</v>
      </c>
      <c r="G216" s="65">
        <f>B215*D34*1.15*B46*B52*B8*D8*10^-3</f>
        <v>586.70527499999992</v>
      </c>
      <c r="H216" s="104"/>
      <c r="I216" s="33"/>
      <c r="J216" s="172"/>
      <c r="K216" s="172"/>
      <c r="L216" s="172"/>
      <c r="M216" s="172"/>
      <c r="N216" s="172"/>
      <c r="O216" s="172"/>
      <c r="P216" s="172"/>
      <c r="Q216" s="172"/>
      <c r="R216" s="172"/>
      <c r="S216" s="172"/>
      <c r="T216" s="172"/>
      <c r="U216" s="172"/>
      <c r="V216" s="172"/>
      <c r="W216" s="175"/>
      <c r="X216" s="175"/>
    </row>
    <row r="217" spans="1:24">
      <c r="A217" s="74" t="s">
        <v>206</v>
      </c>
      <c r="B217" s="130">
        <f>B215*B35*1.15*B51*B46*B52*B8*D8*10^-3</f>
        <v>528.03474750000009</v>
      </c>
      <c r="C217" s="105"/>
      <c r="D217" s="104"/>
      <c r="E217" s="50"/>
      <c r="F217" s="103" t="s">
        <v>206</v>
      </c>
      <c r="G217" s="65">
        <f>B215*D35*1.15*B51*B46*B52*B8*D8*10^-3</f>
        <v>438.3033524999999</v>
      </c>
      <c r="H217" s="104"/>
      <c r="I217" s="33"/>
      <c r="J217" s="172"/>
      <c r="K217" s="172"/>
      <c r="L217" s="172"/>
      <c r="M217" s="172"/>
      <c r="N217" s="172"/>
      <c r="O217" s="172"/>
      <c r="P217" s="172"/>
      <c r="Q217" s="172"/>
      <c r="R217" s="172"/>
      <c r="S217" s="172"/>
      <c r="T217" s="172"/>
      <c r="U217" s="172"/>
      <c r="V217" s="172"/>
      <c r="W217" s="175"/>
      <c r="X217" s="175"/>
    </row>
    <row r="218" spans="1:24">
      <c r="A218" s="74" t="s">
        <v>208</v>
      </c>
      <c r="B218" s="130">
        <f>MIN(B216,B217)</f>
        <v>528.03474750000009</v>
      </c>
      <c r="C218" s="127" t="s">
        <v>207</v>
      </c>
      <c r="D218" s="104"/>
      <c r="E218" s="50"/>
      <c r="F218" s="103" t="s">
        <v>208</v>
      </c>
      <c r="G218" s="65">
        <f>MIN(G216,G217)</f>
        <v>438.3033524999999</v>
      </c>
      <c r="H218" s="128" t="s">
        <v>207</v>
      </c>
      <c r="I218" s="33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5"/>
      <c r="X218" s="175"/>
    </row>
    <row r="219" spans="1:24">
      <c r="A219" s="62" t="s">
        <v>210</v>
      </c>
      <c r="B219" s="130">
        <f>MIN(B216,B217)</f>
        <v>528.03474750000009</v>
      </c>
      <c r="C219" s="127" t="s">
        <v>207</v>
      </c>
      <c r="D219" s="143" t="str">
        <f>IF(B219 &lt;B220,"✗fails","✓ ok")</f>
        <v>✓ ok</v>
      </c>
      <c r="E219" s="50"/>
      <c r="F219" s="124" t="s">
        <v>210</v>
      </c>
      <c r="G219" s="65">
        <f>MIN(G216,G217)</f>
        <v>438.3033524999999</v>
      </c>
      <c r="H219" s="128" t="s">
        <v>207</v>
      </c>
      <c r="I219" s="33" t="str">
        <f>IF(G219 &lt;G220,"✗fails","✓ ok")</f>
        <v>✓ ok</v>
      </c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5"/>
      <c r="X219" s="175"/>
    </row>
    <row r="220" spans="1:24">
      <c r="A220" s="62" t="s">
        <v>274</v>
      </c>
      <c r="B220" s="130">
        <f>ABS(L145)</f>
        <v>12</v>
      </c>
      <c r="C220" s="127" t="s">
        <v>207</v>
      </c>
      <c r="D220" s="104"/>
      <c r="E220" s="50"/>
      <c r="F220" s="124" t="s">
        <v>209</v>
      </c>
      <c r="G220" s="65">
        <f>ABS(L145)</f>
        <v>12</v>
      </c>
      <c r="H220" s="128" t="s">
        <v>207</v>
      </c>
      <c r="I220" s="33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5"/>
      <c r="X220" s="175"/>
    </row>
    <row r="221" spans="1:24">
      <c r="A221" s="62" t="s">
        <v>204</v>
      </c>
      <c r="B221" s="130">
        <f>(B220/B219)+(J143/B184)</f>
        <v>0.27527818741383392</v>
      </c>
      <c r="C221" s="105" t="str">
        <f>IF(B221 &gt;1,"✗fails","✓ ok")</f>
        <v>✓ ok</v>
      </c>
      <c r="D221" s="104"/>
      <c r="E221" s="50"/>
      <c r="F221" s="129" t="s">
        <v>204</v>
      </c>
      <c r="G221" s="105">
        <f>(G220/G219)+(J143/E184)</f>
        <v>0.32998182523064029</v>
      </c>
      <c r="H221" s="104" t="str">
        <f>IF(G221 &gt;1,"✗fails","✓ ok")</f>
        <v>✓ ok</v>
      </c>
      <c r="I221" s="33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  <c r="V221" s="172"/>
      <c r="W221" s="175"/>
      <c r="X221" s="175"/>
    </row>
    <row r="222" spans="1:24">
      <c r="A222" s="51"/>
      <c r="B222" s="77"/>
      <c r="C222" s="77"/>
      <c r="D222" s="106"/>
      <c r="E222" s="50"/>
      <c r="F222" s="33"/>
      <c r="G222" s="77"/>
      <c r="H222" s="106"/>
      <c r="I222" s="33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5"/>
      <c r="X222" s="175"/>
    </row>
    <row r="223" spans="1:24">
      <c r="A223" s="33"/>
      <c r="B223" s="33"/>
      <c r="C223" s="33"/>
      <c r="D223" s="33"/>
      <c r="E223" s="33"/>
      <c r="F223" s="33"/>
      <c r="G223" s="33"/>
      <c r="H223" s="33"/>
      <c r="I223" s="33"/>
      <c r="J223" s="172"/>
      <c r="K223" s="172"/>
      <c r="L223" s="172"/>
      <c r="M223" s="172"/>
      <c r="N223" s="172"/>
      <c r="O223" s="172"/>
      <c r="P223" s="172"/>
      <c r="Q223" s="172"/>
      <c r="R223" s="172"/>
      <c r="S223" s="172"/>
      <c r="T223" s="172"/>
      <c r="U223" s="172"/>
      <c r="V223" s="172"/>
      <c r="W223" s="175"/>
      <c r="X223" s="175"/>
    </row>
    <row r="224" spans="1:24">
      <c r="A224" s="33"/>
      <c r="B224" s="33"/>
      <c r="C224" s="33"/>
      <c r="D224" s="33"/>
      <c r="E224" s="33"/>
      <c r="F224" s="33"/>
      <c r="G224" s="33"/>
      <c r="H224" s="33"/>
      <c r="I224" s="33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2"/>
      <c r="U224" s="172"/>
      <c r="V224" s="172"/>
      <c r="W224" s="175"/>
      <c r="X224" s="175"/>
    </row>
    <row r="225" spans="1:24" ht="21">
      <c r="A225" s="83" t="s">
        <v>217</v>
      </c>
      <c r="B225" s="33"/>
      <c r="C225" s="33"/>
      <c r="D225" s="33"/>
      <c r="E225" s="33"/>
      <c r="F225" s="33"/>
      <c r="G225" s="33"/>
      <c r="H225" s="33"/>
      <c r="I225" s="33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  <c r="V225" s="172"/>
      <c r="W225" s="175"/>
      <c r="X225" s="175"/>
    </row>
    <row r="226" spans="1:24">
      <c r="A226" s="33"/>
      <c r="B226" s="81" t="s">
        <v>69</v>
      </c>
      <c r="C226" s="33"/>
      <c r="D226" s="33"/>
      <c r="E226" s="33"/>
      <c r="F226" s="86" t="s">
        <v>68</v>
      </c>
      <c r="G226" s="86"/>
      <c r="H226" s="86"/>
      <c r="I226" s="33"/>
      <c r="J226" s="172"/>
      <c r="K226" s="172"/>
      <c r="L226" s="172"/>
      <c r="M226" s="172"/>
      <c r="N226" s="172"/>
      <c r="O226" s="172"/>
      <c r="P226" s="172"/>
      <c r="Q226" s="172"/>
      <c r="R226" s="172"/>
      <c r="S226" s="172"/>
      <c r="T226" s="172"/>
      <c r="U226" s="172"/>
      <c r="V226" s="172"/>
      <c r="W226" s="175"/>
      <c r="X226" s="175"/>
    </row>
    <row r="227" spans="1:24">
      <c r="A227" s="74" t="s">
        <v>214</v>
      </c>
      <c r="B227" s="56">
        <f>((B8/1000)*(D8/1000)*(F8/1000))</f>
        <v>0.13338000000000003</v>
      </c>
      <c r="C227" s="50"/>
      <c r="D227" s="50"/>
      <c r="E227" s="50"/>
      <c r="F227" s="126" t="s">
        <v>214</v>
      </c>
      <c r="G227" s="120">
        <f>((B8/1000)*(D8/1000)*(F8/1000))</f>
        <v>0.13338000000000003</v>
      </c>
      <c r="H227" s="102"/>
      <c r="I227" s="33"/>
      <c r="J227" s="172"/>
      <c r="K227" s="172"/>
      <c r="L227" s="172"/>
      <c r="M227" s="172"/>
      <c r="N227" s="172"/>
      <c r="O227" s="172"/>
      <c r="P227" s="172"/>
      <c r="Q227" s="172"/>
      <c r="R227" s="172"/>
      <c r="S227" s="172"/>
      <c r="T227" s="172"/>
      <c r="U227" s="172"/>
      <c r="V227" s="172"/>
      <c r="W227" s="175"/>
      <c r="X227" s="175"/>
    </row>
    <row r="228" spans="1:24">
      <c r="A228" s="74" t="s">
        <v>215</v>
      </c>
      <c r="B228" s="149">
        <f>(B215*B29*1.15*B51*B43*B52*(2/3)*(B8*D8)*1)/1000</f>
        <v>53.378675999999992</v>
      </c>
      <c r="C228" s="50"/>
      <c r="D228" s="50"/>
      <c r="E228" s="50"/>
      <c r="F228" s="103" t="s">
        <v>215</v>
      </c>
      <c r="G228" s="65">
        <f>((B215*D29*1.15*B51*B43*B52)*(2/3)*(B8*D8))/1000</f>
        <v>46.706341499999994</v>
      </c>
      <c r="H228" s="104"/>
      <c r="I228" s="33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  <c r="U228" s="172"/>
      <c r="V228" s="172"/>
      <c r="W228" s="175"/>
      <c r="X228" s="175"/>
    </row>
    <row r="229" spans="1:24">
      <c r="A229" s="74" t="s">
        <v>216</v>
      </c>
      <c r="B229" s="149">
        <f>IF(B227&lt;2, B228, IF(B227&gt;2,NA))</f>
        <v>53.378675999999992</v>
      </c>
      <c r="C229" s="50"/>
      <c r="D229" s="50"/>
      <c r="E229" s="50"/>
      <c r="F229" s="103" t="s">
        <v>216</v>
      </c>
      <c r="G229" s="65">
        <f>IF(G227&lt;2, G228, IF(G227&gt;2,NA))</f>
        <v>46.706341499999994</v>
      </c>
      <c r="H229" s="104"/>
      <c r="I229" s="33"/>
      <c r="J229" s="172"/>
      <c r="K229" s="172"/>
      <c r="L229" s="172"/>
      <c r="M229" s="172"/>
      <c r="N229" s="172"/>
      <c r="O229" s="172"/>
      <c r="P229" s="172"/>
      <c r="Q229" s="172"/>
      <c r="R229" s="172"/>
      <c r="S229" s="172"/>
      <c r="T229" s="172"/>
      <c r="U229" s="172"/>
      <c r="V229" s="172"/>
      <c r="W229" s="175"/>
      <c r="X229" s="175"/>
    </row>
    <row r="230" spans="1:24">
      <c r="A230" s="74" t="s">
        <v>218</v>
      </c>
      <c r="B230" s="149">
        <f>MAX(G129,G136,G143)</f>
        <v>21</v>
      </c>
      <c r="C230" s="50"/>
      <c r="D230" s="50"/>
      <c r="E230" s="50"/>
      <c r="F230" s="103" t="s">
        <v>218</v>
      </c>
      <c r="G230" s="65">
        <f>MAX(G129,G136,G143)</f>
        <v>21</v>
      </c>
      <c r="H230" s="104"/>
      <c r="I230" s="33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5"/>
      <c r="X230" s="175"/>
    </row>
    <row r="231" spans="1:24">
      <c r="A231" s="74" t="s">
        <v>219</v>
      </c>
      <c r="B231" s="47" t="str">
        <f>IF(B229 &lt;B230,"✗fails","✓ ok")</f>
        <v>✓ ok</v>
      </c>
      <c r="C231" s="50"/>
      <c r="D231" s="50"/>
      <c r="E231" s="50"/>
      <c r="F231" s="117" t="s">
        <v>219</v>
      </c>
      <c r="G231" s="77" t="str">
        <f>IF(G229 &lt;G230,"✗fails","✓ ok")</f>
        <v>✓ ok</v>
      </c>
      <c r="H231" s="106"/>
      <c r="I231" s="33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5"/>
      <c r="X231" s="175"/>
    </row>
    <row r="232" spans="1:24">
      <c r="A232" s="33"/>
      <c r="B232" s="33"/>
      <c r="C232" s="50"/>
      <c r="D232" s="50"/>
      <c r="E232" s="50"/>
      <c r="F232" s="33"/>
      <c r="G232" s="33"/>
      <c r="H232" s="33"/>
      <c r="I232" s="33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  <c r="V232" s="172"/>
      <c r="W232" s="175"/>
      <c r="X232" s="175"/>
    </row>
    <row r="233" spans="1:24">
      <c r="A233" s="33"/>
      <c r="B233" s="33"/>
      <c r="C233" s="33"/>
      <c r="D233" s="33"/>
      <c r="E233" s="33"/>
      <c r="F233" s="33"/>
      <c r="G233" s="33"/>
      <c r="H233" s="33"/>
      <c r="I233" s="33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  <c r="V233" s="172"/>
      <c r="W233" s="175"/>
      <c r="X233" s="175"/>
    </row>
    <row r="234" spans="1:24" ht="21">
      <c r="A234" s="83" t="s">
        <v>222</v>
      </c>
      <c r="B234" s="33"/>
      <c r="C234" s="33"/>
      <c r="D234" s="33"/>
      <c r="E234" s="33"/>
      <c r="F234" s="33"/>
      <c r="G234" s="33"/>
      <c r="H234" s="33"/>
      <c r="I234" s="33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5"/>
      <c r="X234" s="175"/>
    </row>
    <row r="235" spans="1:24">
      <c r="A235" s="33"/>
      <c r="B235" s="81" t="s">
        <v>69</v>
      </c>
      <c r="C235" s="33"/>
      <c r="D235" s="33"/>
      <c r="E235" s="33"/>
      <c r="F235" s="86" t="s">
        <v>68</v>
      </c>
      <c r="G235" s="86"/>
      <c r="H235" s="86"/>
      <c r="I235" s="33"/>
      <c r="J235" s="172"/>
      <c r="K235" s="172"/>
      <c r="L235" s="172"/>
      <c r="M235" s="172"/>
      <c r="N235" s="172"/>
      <c r="O235" s="172"/>
      <c r="P235" s="172"/>
      <c r="Q235" s="172"/>
      <c r="R235" s="172"/>
      <c r="S235" s="172"/>
      <c r="T235" s="172"/>
      <c r="U235" s="172"/>
      <c r="V235" s="172"/>
      <c r="W235" s="175"/>
      <c r="X235" s="175"/>
    </row>
    <row r="236" spans="1:24">
      <c r="A236" s="62" t="s">
        <v>220</v>
      </c>
      <c r="B236" s="57">
        <f>F8/180</f>
        <v>16.666666666666668</v>
      </c>
      <c r="C236" s="79"/>
      <c r="D236" s="79"/>
      <c r="E236" s="79"/>
      <c r="F236" s="121" t="s">
        <v>220</v>
      </c>
      <c r="G236" s="79">
        <f>F8/180</f>
        <v>16.666666666666668</v>
      </c>
      <c r="H236" s="102"/>
      <c r="I236" s="33"/>
      <c r="J236" s="172"/>
      <c r="K236" s="172"/>
      <c r="L236" s="172"/>
      <c r="M236" s="172"/>
      <c r="N236" s="172"/>
      <c r="O236" s="172"/>
      <c r="P236" s="172"/>
      <c r="Q236" s="172"/>
      <c r="R236" s="172"/>
      <c r="S236" s="172"/>
      <c r="T236" s="172"/>
      <c r="U236" s="172"/>
      <c r="V236" s="172"/>
      <c r="W236" s="175"/>
      <c r="X236" s="175"/>
    </row>
    <row r="237" spans="1:24">
      <c r="A237" s="62" t="s">
        <v>224</v>
      </c>
      <c r="B237" s="125">
        <f>VLOOKUP(B10,R55:S58,2,FALSE)</f>
        <v>2.1126662541379218</v>
      </c>
      <c r="C237" s="127" t="s">
        <v>225</v>
      </c>
      <c r="D237" s="105"/>
      <c r="E237" s="105"/>
      <c r="F237" s="123" t="s">
        <v>224</v>
      </c>
      <c r="G237" s="105">
        <f>VLOOKUP(B10,T55:U58,2,FALSE)</f>
        <v>2.6254493255306213</v>
      </c>
      <c r="H237" s="128" t="s">
        <v>225</v>
      </c>
      <c r="I237" s="33"/>
      <c r="J237" s="172"/>
      <c r="K237" s="172"/>
      <c r="L237" s="172"/>
      <c r="M237" s="172"/>
      <c r="N237" s="172"/>
      <c r="O237" s="172"/>
      <c r="P237" s="172"/>
      <c r="Q237" s="172"/>
      <c r="R237" s="172"/>
      <c r="S237" s="172"/>
      <c r="T237" s="172"/>
      <c r="U237" s="172"/>
      <c r="V237" s="172"/>
      <c r="W237" s="175"/>
      <c r="X237" s="175"/>
    </row>
    <row r="238" spans="1:24">
      <c r="A238" s="62" t="s">
        <v>230</v>
      </c>
      <c r="B238" s="48" t="str">
        <f>IF(B237 &gt;B236,"✗fails","✓ ok")</f>
        <v>✓ ok</v>
      </c>
      <c r="C238" s="77"/>
      <c r="D238" s="77"/>
      <c r="E238" s="33"/>
      <c r="F238" s="129" t="s">
        <v>230</v>
      </c>
      <c r="G238" s="77" t="str">
        <f>IF(G237 &gt;G236,"✗fails","✓ ok")</f>
        <v>✓ ok</v>
      </c>
      <c r="H238" s="106"/>
      <c r="I238" s="33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5"/>
      <c r="X238" s="175"/>
    </row>
    <row r="239" spans="1:24">
      <c r="A239" s="50"/>
      <c r="B239" s="33"/>
      <c r="C239" s="33"/>
      <c r="D239" s="33"/>
      <c r="E239" s="33"/>
      <c r="F239" s="33"/>
      <c r="G239" s="33"/>
      <c r="H239" s="33"/>
      <c r="I239" s="33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5"/>
      <c r="X239" s="175"/>
    </row>
    <row r="240" spans="1:24">
      <c r="A240" s="33"/>
      <c r="B240" s="33"/>
      <c r="C240" s="33"/>
      <c r="D240" s="33"/>
      <c r="E240" s="33"/>
      <c r="F240" s="33"/>
      <c r="G240" s="33"/>
      <c r="H240" s="33"/>
      <c r="I240" s="33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  <c r="V240" s="172"/>
      <c r="W240" s="175"/>
      <c r="X240" s="175"/>
    </row>
    <row r="241" spans="1:24">
      <c r="A241" s="33"/>
      <c r="B241" s="33"/>
      <c r="C241" s="33"/>
      <c r="D241" s="33"/>
      <c r="E241" s="33"/>
      <c r="F241" s="33"/>
      <c r="G241" s="33"/>
      <c r="H241" s="33"/>
      <c r="I241" s="33"/>
      <c r="J241" s="172"/>
      <c r="K241" s="172"/>
      <c r="L241" s="172"/>
      <c r="M241" s="172"/>
      <c r="N241" s="172"/>
      <c r="O241" s="172"/>
      <c r="P241" s="172"/>
      <c r="Q241" s="172"/>
      <c r="R241" s="172"/>
      <c r="S241" s="172"/>
      <c r="T241" s="172"/>
      <c r="U241" s="172"/>
      <c r="V241" s="172"/>
      <c r="W241" s="175"/>
      <c r="X241" s="175"/>
    </row>
    <row r="242" spans="1:24">
      <c r="A242" s="33"/>
      <c r="B242" s="33"/>
      <c r="C242" s="33"/>
      <c r="D242" s="33"/>
      <c r="E242" s="33"/>
      <c r="F242" s="33"/>
      <c r="G242" s="33"/>
      <c r="H242" s="33"/>
      <c r="I242" s="33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5"/>
      <c r="X242" s="175"/>
    </row>
    <row r="243" spans="1:24" ht="28.8">
      <c r="A243" s="154" t="s">
        <v>277</v>
      </c>
      <c r="B243" s="33"/>
      <c r="C243" s="33"/>
      <c r="D243" s="33"/>
      <c r="E243" s="33"/>
      <c r="F243" s="33"/>
      <c r="G243" s="33"/>
      <c r="H243" s="33"/>
      <c r="I243" s="33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5"/>
      <c r="X243" s="175"/>
    </row>
    <row r="244" spans="1:24">
      <c r="A244" s="33" t="s">
        <v>278</v>
      </c>
      <c r="B244" s="33"/>
      <c r="C244" s="33"/>
      <c r="D244" s="33"/>
      <c r="E244" s="33"/>
      <c r="F244" s="33"/>
      <c r="G244" s="33"/>
      <c r="H244" s="33"/>
      <c r="I244" s="33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5"/>
      <c r="X244" s="175"/>
    </row>
    <row r="245" spans="1:24">
      <c r="A245" s="33"/>
      <c r="B245" s="33"/>
      <c r="C245" s="33"/>
      <c r="D245" s="33"/>
      <c r="E245" s="33"/>
      <c r="F245" s="33"/>
      <c r="G245" s="33"/>
      <c r="H245" s="33"/>
      <c r="I245" s="33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5"/>
      <c r="X245" s="175"/>
    </row>
    <row r="246" spans="1:24">
      <c r="A246" s="33" t="s">
        <v>279</v>
      </c>
      <c r="B246" s="33"/>
      <c r="C246" s="33"/>
      <c r="D246" s="33"/>
      <c r="E246" s="33"/>
      <c r="F246" s="33"/>
      <c r="G246" s="33"/>
      <c r="H246" s="33"/>
      <c r="I246" s="33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5"/>
      <c r="X246" s="175"/>
    </row>
    <row r="247" spans="1:24">
      <c r="A247" s="33"/>
      <c r="B247" s="33"/>
      <c r="C247" s="33"/>
      <c r="D247" s="33"/>
      <c r="E247" s="33"/>
      <c r="F247" s="33"/>
      <c r="G247" s="33"/>
      <c r="H247" s="33"/>
      <c r="I247" s="33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5"/>
      <c r="X247" s="175"/>
    </row>
    <row r="248" spans="1:24">
      <c r="A248" s="33"/>
      <c r="B248" s="33"/>
      <c r="C248" s="33"/>
      <c r="D248" s="33"/>
      <c r="E248" s="33"/>
      <c r="F248" s="33"/>
      <c r="G248" s="33"/>
      <c r="H248" s="33"/>
      <c r="I248" s="33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5"/>
      <c r="X248" s="175"/>
    </row>
    <row r="249" spans="1:24">
      <c r="A249" s="33"/>
      <c r="B249" s="33"/>
      <c r="C249" s="33"/>
      <c r="D249" s="33"/>
      <c r="E249" s="33"/>
      <c r="F249" s="33"/>
      <c r="G249" s="33"/>
      <c r="H249" s="33"/>
      <c r="I249" s="33"/>
      <c r="J249" s="172"/>
      <c r="K249" s="172"/>
      <c r="L249" s="172"/>
      <c r="M249" s="172"/>
      <c r="N249" s="172"/>
      <c r="O249" s="172"/>
      <c r="P249" s="172"/>
      <c r="Q249" s="172"/>
      <c r="R249" s="172"/>
      <c r="S249" s="172"/>
      <c r="T249" s="172"/>
      <c r="U249" s="172"/>
      <c r="V249" s="172"/>
      <c r="W249" s="175"/>
      <c r="X249" s="175"/>
    </row>
    <row r="250" spans="1:24">
      <c r="A250" s="33"/>
      <c r="B250" s="33"/>
      <c r="C250" s="33"/>
      <c r="D250" s="33"/>
      <c r="E250" s="33"/>
      <c r="F250" s="33"/>
      <c r="G250" s="33"/>
      <c r="H250" s="33"/>
      <c r="I250" s="33"/>
      <c r="J250" s="172"/>
      <c r="K250" s="172"/>
      <c r="L250" s="172"/>
      <c r="M250" s="172"/>
      <c r="N250" s="172"/>
      <c r="O250" s="172"/>
      <c r="P250" s="172"/>
      <c r="Q250" s="172"/>
      <c r="R250" s="172"/>
      <c r="S250" s="172"/>
      <c r="T250" s="172"/>
      <c r="U250" s="172"/>
      <c r="V250" s="172"/>
      <c r="W250" s="175"/>
      <c r="X250" s="175"/>
    </row>
    <row r="251" spans="1:24">
      <c r="A251" s="33"/>
      <c r="B251" s="33"/>
      <c r="C251" s="33"/>
      <c r="D251" s="33"/>
      <c r="E251" s="33"/>
      <c r="F251" s="33"/>
      <c r="G251" s="33"/>
      <c r="H251" s="33"/>
      <c r="I251" s="33"/>
      <c r="J251" s="172"/>
      <c r="K251" s="172"/>
      <c r="L251" s="172"/>
      <c r="M251" s="172"/>
      <c r="N251" s="172"/>
      <c r="O251" s="172"/>
      <c r="P251" s="172"/>
      <c r="Q251" s="172"/>
      <c r="R251" s="172"/>
      <c r="S251" s="172"/>
      <c r="T251" s="172"/>
      <c r="U251" s="172"/>
      <c r="V251" s="172"/>
      <c r="W251" s="175"/>
      <c r="X251" s="175"/>
    </row>
    <row r="252" spans="1:24">
      <c r="A252" s="33"/>
      <c r="B252" s="33"/>
      <c r="C252" s="33"/>
      <c r="D252" s="33"/>
      <c r="E252" s="33"/>
      <c r="F252" s="33"/>
      <c r="G252" s="33"/>
      <c r="H252" s="33"/>
      <c r="I252" s="33"/>
      <c r="J252" s="172"/>
      <c r="K252" s="172"/>
      <c r="L252" s="172"/>
      <c r="M252" s="172"/>
      <c r="N252" s="172"/>
      <c r="O252" s="172"/>
      <c r="P252" s="172"/>
      <c r="Q252" s="172"/>
      <c r="R252" s="172"/>
      <c r="S252" s="172"/>
      <c r="T252" s="172"/>
      <c r="U252" s="172"/>
      <c r="V252" s="172"/>
      <c r="W252" s="175"/>
      <c r="X252" s="175"/>
    </row>
    <row r="253" spans="1:24">
      <c r="A253" s="33"/>
      <c r="B253" s="33"/>
      <c r="C253" s="33"/>
      <c r="D253" s="33"/>
      <c r="E253" s="33"/>
      <c r="F253" s="33"/>
      <c r="G253" s="33"/>
      <c r="H253" s="33"/>
      <c r="I253" s="33"/>
      <c r="J253" s="172"/>
      <c r="K253" s="172"/>
      <c r="L253" s="172"/>
      <c r="M253" s="172"/>
      <c r="N253" s="172"/>
      <c r="O253" s="172"/>
      <c r="P253" s="172"/>
      <c r="Q253" s="172"/>
      <c r="R253" s="172"/>
      <c r="S253" s="172"/>
      <c r="T253" s="172"/>
      <c r="U253" s="172"/>
      <c r="V253" s="172"/>
      <c r="W253" s="175"/>
      <c r="X253" s="175"/>
    </row>
    <row r="254" spans="1:24">
      <c r="A254" s="33"/>
      <c r="B254" s="33"/>
      <c r="C254" s="33"/>
      <c r="D254" s="33"/>
      <c r="E254" s="33"/>
      <c r="F254" s="33"/>
      <c r="G254" s="33"/>
      <c r="H254" s="33"/>
      <c r="I254" s="33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5"/>
      <c r="X254" s="175"/>
    </row>
    <row r="255" spans="1:24">
      <c r="A255" s="33"/>
      <c r="B255" s="33"/>
      <c r="C255" s="33"/>
      <c r="D255" s="33"/>
      <c r="E255" s="33"/>
      <c r="F255" s="33"/>
      <c r="G255" s="33"/>
      <c r="H255" s="33"/>
      <c r="I255" s="33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5"/>
      <c r="X255" s="175"/>
    </row>
    <row r="256" spans="1:24">
      <c r="A256" s="33"/>
      <c r="B256" s="33"/>
      <c r="C256" s="33"/>
      <c r="D256" s="33"/>
      <c r="E256" s="33"/>
      <c r="F256" s="33"/>
      <c r="G256" s="33"/>
      <c r="H256" s="33"/>
      <c r="I256" s="33"/>
      <c r="J256" s="172"/>
      <c r="K256" s="172"/>
      <c r="L256" s="172"/>
      <c r="M256" s="172"/>
      <c r="N256" s="172"/>
      <c r="O256" s="172"/>
      <c r="P256" s="172"/>
      <c r="Q256" s="172"/>
      <c r="R256" s="172"/>
      <c r="S256" s="172"/>
      <c r="T256" s="172"/>
      <c r="U256" s="172"/>
      <c r="V256" s="172"/>
      <c r="W256" s="175"/>
      <c r="X256" s="175"/>
    </row>
    <row r="257" spans="1:24">
      <c r="A257" s="33"/>
      <c r="B257" s="33"/>
      <c r="C257" s="33"/>
      <c r="D257" s="33"/>
      <c r="E257" s="33"/>
      <c r="F257" s="33"/>
      <c r="G257" s="33"/>
      <c r="H257" s="33"/>
      <c r="I257" s="33"/>
      <c r="J257" s="172"/>
      <c r="K257" s="172"/>
      <c r="L257" s="172"/>
      <c r="M257" s="172"/>
      <c r="N257" s="172"/>
      <c r="O257" s="172"/>
      <c r="P257" s="172"/>
      <c r="Q257" s="172"/>
      <c r="R257" s="172"/>
      <c r="S257" s="172"/>
      <c r="T257" s="172"/>
      <c r="U257" s="172"/>
      <c r="V257" s="172"/>
      <c r="W257" s="175"/>
      <c r="X257" s="175"/>
    </row>
    <row r="258" spans="1:24">
      <c r="A258" s="33"/>
      <c r="B258" s="33"/>
      <c r="C258" s="33"/>
      <c r="D258" s="33"/>
      <c r="E258" s="33"/>
      <c r="F258" s="33"/>
      <c r="G258" s="33"/>
      <c r="H258" s="33"/>
      <c r="I258" s="33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5"/>
      <c r="X258" s="175"/>
    </row>
    <row r="259" spans="1:24">
      <c r="A259" s="33"/>
      <c r="B259" s="33"/>
      <c r="C259" s="33"/>
      <c r="D259" s="33"/>
      <c r="E259" s="33"/>
      <c r="F259" s="33"/>
      <c r="G259" s="33"/>
      <c r="H259" s="33"/>
      <c r="I259" s="33"/>
      <c r="J259" s="172"/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5"/>
      <c r="X259" s="175"/>
    </row>
    <row r="260" spans="1:24">
      <c r="A260" s="33"/>
      <c r="B260" s="33"/>
      <c r="C260" s="33"/>
      <c r="D260" s="33"/>
      <c r="E260" s="33"/>
      <c r="F260" s="33"/>
      <c r="G260" s="33"/>
      <c r="H260" s="33"/>
      <c r="I260" s="33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5"/>
      <c r="X260" s="175"/>
    </row>
    <row r="261" spans="1:24">
      <c r="A261" s="33"/>
      <c r="B261" s="33"/>
      <c r="C261" s="33"/>
      <c r="D261" s="33"/>
      <c r="E261" s="33"/>
      <c r="F261" s="33"/>
      <c r="G261" s="33"/>
      <c r="H261" s="33"/>
      <c r="I261" s="33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5"/>
      <c r="X261" s="175"/>
    </row>
    <row r="262" spans="1:24">
      <c r="A262" s="33"/>
      <c r="B262" s="33"/>
      <c r="C262" s="33"/>
      <c r="D262" s="33"/>
      <c r="E262" s="33"/>
      <c r="F262" s="33"/>
      <c r="G262" s="33"/>
      <c r="H262" s="33"/>
      <c r="I262" s="33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5"/>
      <c r="X262" s="175"/>
    </row>
    <row r="263" spans="1:24">
      <c r="A263" s="33"/>
      <c r="B263" s="33"/>
      <c r="C263" s="33"/>
      <c r="D263" s="33"/>
      <c r="E263" s="33"/>
      <c r="F263" s="33"/>
      <c r="G263" s="33"/>
      <c r="H263" s="33"/>
      <c r="I263" s="33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5"/>
      <c r="X263" s="175"/>
    </row>
    <row r="264" spans="1:24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</row>
    <row r="265" spans="1:24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</row>
    <row r="266" spans="1:24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</row>
    <row r="267" spans="1:24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</row>
    <row r="268" spans="1:24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</row>
    <row r="269" spans="1:24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</row>
    <row r="270" spans="1:24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</row>
    <row r="271" spans="1:24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</row>
    <row r="272" spans="1:24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</row>
    <row r="273" spans="1:2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</row>
    <row r="274" spans="1:2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</row>
    <row r="275" spans="1:2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</row>
    <row r="276" spans="1:2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</row>
    <row r="277" spans="1:2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</row>
    <row r="278" spans="1:2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</row>
    <row r="279" spans="1:2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</row>
    <row r="280" spans="1:2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</row>
    <row r="281" spans="1:2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</row>
    <row r="282" spans="1:2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</row>
    <row r="283" spans="1:2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</row>
  </sheetData>
  <mergeCells count="3">
    <mergeCell ref="B13:D13"/>
    <mergeCell ref="B18:D18"/>
    <mergeCell ref="D25:F25"/>
  </mergeCells>
  <dataValidations count="8">
    <dataValidation type="list" allowBlank="1" showInputMessage="1" showErrorMessage="1" sqref="B26">
      <formula1>Grade</formula1>
    </dataValidation>
    <dataValidation type="list" allowBlank="1" showInputMessage="1" showErrorMessage="1" sqref="D26">
      <formula1>Sprucee</formula1>
    </dataValidation>
    <dataValidation type="list" allowBlank="1" showInputMessage="1" showErrorMessage="1" sqref="G26">
      <formula1>Hem</formula1>
    </dataValidation>
    <dataValidation type="list" allowBlank="1" showInputMessage="1" showErrorMessage="1" sqref="B13">
      <formula1>Ke</formula1>
    </dataValidation>
    <dataValidation type="list" allowBlank="1" showInputMessage="1" showErrorMessage="1" sqref="B18">
      <formula1>Bending</formula1>
    </dataValidation>
    <dataValidation type="list" allowBlank="1" showInputMessage="1" showErrorMessage="1" sqref="B41">
      <formula1>KS</formula1>
    </dataValidation>
    <dataValidation type="list" allowBlank="1" showInputMessage="1" showErrorMessage="1" sqref="B10">
      <formula1>CC</formula1>
    </dataValidation>
    <dataValidation type="list" allowBlank="1" showInputMessage="1" showErrorMessage="1" sqref="B50">
      <formula1>KH</formula1>
    </dataValidation>
  </dataValidations>
  <pageMargins left="0.74803149606299213" right="0.74803149606299213" top="0.98425196850393704" bottom="0.98425196850393704" header="0.51181102362204722" footer="0.51181102362204722"/>
  <pageSetup scale="5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4"/>
  <sheetViews>
    <sheetView topLeftCell="A59" zoomScale="125" zoomScaleNormal="125" zoomScalePageLayoutView="125" workbookViewId="0">
      <selection activeCell="A69" sqref="A69"/>
    </sheetView>
  </sheetViews>
  <sheetFormatPr defaultColWidth="11.19921875" defaultRowHeight="15.6"/>
  <cols>
    <col min="1" max="1" width="57.5" customWidth="1"/>
    <col min="14" max="14" width="15.296875" customWidth="1"/>
  </cols>
  <sheetData>
    <row r="2" spans="1:3">
      <c r="A2" s="3"/>
    </row>
    <row r="3" spans="1:3">
      <c r="A3" s="31"/>
    </row>
    <row r="4" spans="1:3">
      <c r="A4" s="2"/>
    </row>
    <row r="5" spans="1:3">
      <c r="A5" s="2"/>
    </row>
    <row r="7" spans="1:3">
      <c r="A7" s="3" t="s">
        <v>72</v>
      </c>
      <c r="C7" t="s">
        <v>75</v>
      </c>
    </row>
    <row r="8" spans="1:3">
      <c r="A8" s="4" t="s">
        <v>2</v>
      </c>
      <c r="B8" s="4" t="s">
        <v>4</v>
      </c>
      <c r="C8" t="s">
        <v>58</v>
      </c>
    </row>
    <row r="9" spans="1:3">
      <c r="A9" s="4" t="s">
        <v>3</v>
      </c>
      <c r="B9" s="4" t="s">
        <v>5</v>
      </c>
      <c r="C9" t="s">
        <v>76</v>
      </c>
    </row>
    <row r="10" spans="1:3">
      <c r="A10" s="4" t="s">
        <v>4</v>
      </c>
      <c r="B10" s="4" t="s">
        <v>73</v>
      </c>
    </row>
    <row r="11" spans="1:3">
      <c r="A11" s="4" t="s">
        <v>5</v>
      </c>
      <c r="B11" s="4" t="s">
        <v>74</v>
      </c>
    </row>
    <row r="12" spans="1:3">
      <c r="A12" s="4" t="s">
        <v>6</v>
      </c>
      <c r="B12" s="4"/>
    </row>
    <row r="13" spans="1:3">
      <c r="A13" s="4" t="s">
        <v>7</v>
      </c>
      <c r="B13" s="4"/>
    </row>
    <row r="14" spans="1:3">
      <c r="A14" s="4"/>
    </row>
    <row r="15" spans="1:3">
      <c r="A15" s="4"/>
    </row>
    <row r="18" spans="1:15">
      <c r="A18" s="22" t="s">
        <v>22</v>
      </c>
      <c r="C18" s="20"/>
      <c r="D18" s="21"/>
      <c r="E18" s="18" t="s">
        <v>0</v>
      </c>
      <c r="F18" s="18"/>
      <c r="G18" s="18"/>
      <c r="H18" s="19"/>
      <c r="I18" s="17" t="s">
        <v>21</v>
      </c>
      <c r="J18" s="18"/>
      <c r="K18" s="18"/>
      <c r="L18" s="19"/>
      <c r="M18" s="17" t="s">
        <v>1</v>
      </c>
      <c r="N18" s="19"/>
      <c r="O18" s="1"/>
    </row>
    <row r="19" spans="1:15">
      <c r="C19" s="12" t="s">
        <v>2</v>
      </c>
      <c r="D19" s="5" t="s">
        <v>3</v>
      </c>
      <c r="E19" s="5" t="s">
        <v>4</v>
      </c>
      <c r="F19" s="5" t="s">
        <v>5</v>
      </c>
      <c r="G19" s="5" t="s">
        <v>6</v>
      </c>
      <c r="H19" s="13" t="s">
        <v>7</v>
      </c>
      <c r="I19" s="7" t="s">
        <v>4</v>
      </c>
      <c r="J19" s="8" t="s">
        <v>5</v>
      </c>
      <c r="K19" s="8" t="s">
        <v>8</v>
      </c>
      <c r="L19" s="9" t="s">
        <v>9</v>
      </c>
      <c r="M19" s="7" t="s">
        <v>2</v>
      </c>
      <c r="N19" s="9" t="s">
        <v>3</v>
      </c>
      <c r="O19" s="1"/>
    </row>
    <row r="20" spans="1:15" ht="16.2">
      <c r="A20" t="s">
        <v>18</v>
      </c>
      <c r="C20" s="10">
        <v>30.6</v>
      </c>
      <c r="D20" s="6">
        <v>30.6</v>
      </c>
      <c r="E20" s="6">
        <v>25.6</v>
      </c>
      <c r="F20" s="6">
        <v>25.6</v>
      </c>
      <c r="G20" s="6">
        <v>24.3</v>
      </c>
      <c r="H20" s="11">
        <v>14</v>
      </c>
      <c r="I20" s="10">
        <v>25.6</v>
      </c>
      <c r="J20" s="6">
        <v>25.6</v>
      </c>
      <c r="K20" s="6">
        <v>24.3</v>
      </c>
      <c r="L20" s="11">
        <v>9.8000000000000007</v>
      </c>
      <c r="M20" s="10">
        <v>30.6</v>
      </c>
      <c r="N20" s="11">
        <v>30.6</v>
      </c>
      <c r="O20" s="1"/>
    </row>
    <row r="21" spans="1:15" ht="16.2">
      <c r="A21" t="s">
        <v>10</v>
      </c>
      <c r="C21" s="10">
        <v>23</v>
      </c>
      <c r="D21" s="6">
        <v>30.6</v>
      </c>
      <c r="E21" s="6">
        <v>19.2</v>
      </c>
      <c r="F21" s="6">
        <v>25.6</v>
      </c>
      <c r="G21" s="6">
        <v>24.3</v>
      </c>
      <c r="H21" s="11">
        <v>14</v>
      </c>
      <c r="I21" s="10">
        <v>19.2</v>
      </c>
      <c r="J21" s="6">
        <v>25.6</v>
      </c>
      <c r="K21" s="6">
        <v>24.3</v>
      </c>
      <c r="L21" s="11">
        <v>9.8000000000000007</v>
      </c>
      <c r="M21" s="10">
        <v>23</v>
      </c>
      <c r="N21" s="11">
        <v>30.6</v>
      </c>
      <c r="O21" s="1"/>
    </row>
    <row r="22" spans="1:15" ht="16.2">
      <c r="A22" t="s">
        <v>11</v>
      </c>
      <c r="C22" s="10">
        <v>2</v>
      </c>
      <c r="D22" s="6">
        <v>2</v>
      </c>
      <c r="E22" s="6">
        <v>2</v>
      </c>
      <c r="F22" s="6">
        <v>2</v>
      </c>
      <c r="G22" s="6">
        <v>2</v>
      </c>
      <c r="H22" s="11">
        <v>2</v>
      </c>
      <c r="I22" s="10">
        <v>1.75</v>
      </c>
      <c r="J22" s="6">
        <v>1.75</v>
      </c>
      <c r="K22" s="6">
        <v>1.75</v>
      </c>
      <c r="L22" s="11">
        <v>1.75</v>
      </c>
      <c r="M22" s="10">
        <v>1.75</v>
      </c>
      <c r="N22" s="11">
        <v>1.75</v>
      </c>
      <c r="O22" s="1"/>
    </row>
    <row r="23" spans="1:15">
      <c r="A23" t="s">
        <v>17</v>
      </c>
      <c r="C23" s="10">
        <v>30.2</v>
      </c>
      <c r="D23" s="6">
        <v>30.2</v>
      </c>
      <c r="E23" s="6">
        <v>30.2</v>
      </c>
      <c r="F23" s="6">
        <v>30.2</v>
      </c>
      <c r="G23" s="6">
        <v>30.2</v>
      </c>
      <c r="H23" s="11">
        <v>30.2</v>
      </c>
      <c r="I23" s="10">
        <v>25.2</v>
      </c>
      <c r="J23" s="6">
        <v>25.2</v>
      </c>
      <c r="K23" s="6">
        <v>25.2</v>
      </c>
      <c r="L23" s="11">
        <v>25.2</v>
      </c>
      <c r="M23" s="10">
        <v>0</v>
      </c>
      <c r="N23" s="11">
        <v>0</v>
      </c>
      <c r="O23" s="1"/>
    </row>
    <row r="24" spans="1:15" ht="16.2">
      <c r="A24" t="s">
        <v>12</v>
      </c>
      <c r="C24" s="10">
        <v>30.2</v>
      </c>
      <c r="D24" s="6">
        <v>30.2</v>
      </c>
      <c r="E24" s="6">
        <v>30.2</v>
      </c>
      <c r="F24" s="6">
        <v>30.2</v>
      </c>
      <c r="G24" s="6">
        <v>30.2</v>
      </c>
      <c r="H24" s="11">
        <v>30.2</v>
      </c>
      <c r="I24" s="10">
        <v>25.2</v>
      </c>
      <c r="J24" s="6">
        <v>25.2</v>
      </c>
      <c r="K24" s="6">
        <v>25.2</v>
      </c>
      <c r="L24" s="11">
        <v>25.2</v>
      </c>
      <c r="M24" s="10">
        <v>0</v>
      </c>
      <c r="N24" s="11">
        <v>0</v>
      </c>
      <c r="O24" s="1"/>
    </row>
    <row r="25" spans="1:15" ht="16.2">
      <c r="A25" t="s">
        <v>19</v>
      </c>
      <c r="C25" s="10">
        <v>7</v>
      </c>
      <c r="D25" s="6">
        <v>7</v>
      </c>
      <c r="E25" s="6">
        <v>7</v>
      </c>
      <c r="F25" s="6">
        <v>7</v>
      </c>
      <c r="G25" s="6">
        <v>7</v>
      </c>
      <c r="H25" s="11">
        <v>7</v>
      </c>
      <c r="I25" s="10">
        <v>5.8</v>
      </c>
      <c r="J25" s="6">
        <v>5.8</v>
      </c>
      <c r="K25" s="6">
        <v>5.8</v>
      </c>
      <c r="L25" s="11">
        <v>5.8</v>
      </c>
      <c r="M25" s="10">
        <v>4.5999999999999996</v>
      </c>
      <c r="N25" s="11">
        <v>7</v>
      </c>
      <c r="O25" s="1"/>
    </row>
    <row r="26" spans="1:15" ht="16.2">
      <c r="A26" t="s">
        <v>20</v>
      </c>
      <c r="C26" s="10">
        <v>7</v>
      </c>
      <c r="D26" s="6">
        <v>7</v>
      </c>
      <c r="E26" s="6">
        <v>7</v>
      </c>
      <c r="F26" s="6">
        <v>7</v>
      </c>
      <c r="G26" s="6">
        <v>7</v>
      </c>
      <c r="H26" s="11">
        <v>7</v>
      </c>
      <c r="I26" s="10">
        <v>5.8</v>
      </c>
      <c r="J26" s="6">
        <v>5.8</v>
      </c>
      <c r="K26" s="6">
        <v>5.8</v>
      </c>
      <c r="L26" s="11">
        <v>5.8</v>
      </c>
      <c r="M26" s="10">
        <v>7</v>
      </c>
      <c r="N26" s="11">
        <v>7</v>
      </c>
      <c r="O26" s="1"/>
    </row>
    <row r="27" spans="1:15" ht="16.2">
      <c r="A27" t="s">
        <v>13</v>
      </c>
      <c r="C27" s="10">
        <v>20.399999999999999</v>
      </c>
      <c r="D27" s="6">
        <v>20.399999999999999</v>
      </c>
      <c r="E27" s="6">
        <v>20.399999999999999</v>
      </c>
      <c r="F27" s="6">
        <v>20.399999999999999</v>
      </c>
      <c r="G27" s="6">
        <v>23</v>
      </c>
      <c r="H27" s="11">
        <v>20.399999999999999</v>
      </c>
      <c r="I27" s="10">
        <v>17</v>
      </c>
      <c r="J27" s="6">
        <v>17</v>
      </c>
      <c r="K27" s="6">
        <v>17.899999999999999</v>
      </c>
      <c r="L27" s="11">
        <v>17</v>
      </c>
      <c r="M27" s="10">
        <v>20.399999999999999</v>
      </c>
      <c r="N27" s="11">
        <v>20.399999999999999</v>
      </c>
      <c r="O27" s="1"/>
    </row>
    <row r="28" spans="1:15" ht="16.2">
      <c r="A28" t="s">
        <v>14</v>
      </c>
      <c r="C28" s="10">
        <v>15.3</v>
      </c>
      <c r="D28" s="6">
        <v>15.3</v>
      </c>
      <c r="E28" s="6">
        <v>15.3</v>
      </c>
      <c r="F28" s="6">
        <v>15.3</v>
      </c>
      <c r="G28" s="6">
        <v>17.899999999999999</v>
      </c>
      <c r="H28" s="11">
        <v>15.3</v>
      </c>
      <c r="I28" s="10">
        <v>12.7</v>
      </c>
      <c r="J28" s="6">
        <v>12.7</v>
      </c>
      <c r="K28" s="6">
        <v>13.4</v>
      </c>
      <c r="L28" s="11">
        <v>12.7</v>
      </c>
      <c r="M28" s="10">
        <v>15.3</v>
      </c>
      <c r="N28" s="11">
        <v>15.3</v>
      </c>
      <c r="O28" s="1"/>
    </row>
    <row r="29" spans="1:15" ht="16.2">
      <c r="A29" t="s">
        <v>15</v>
      </c>
      <c r="C29" s="12">
        <v>0.83</v>
      </c>
      <c r="D29" s="5">
        <v>0.83</v>
      </c>
      <c r="E29" s="5">
        <v>0.83</v>
      </c>
      <c r="F29" s="5">
        <v>0.83</v>
      </c>
      <c r="G29" s="5">
        <v>0.83</v>
      </c>
      <c r="H29" s="13">
        <v>0.83</v>
      </c>
      <c r="I29" s="12">
        <v>0.51</v>
      </c>
      <c r="J29" s="5">
        <v>0.51</v>
      </c>
      <c r="K29" s="5">
        <v>0.51</v>
      </c>
      <c r="L29" s="13">
        <v>0.51</v>
      </c>
      <c r="M29" s="12">
        <v>0.83</v>
      </c>
      <c r="N29" s="13">
        <v>0.83</v>
      </c>
      <c r="O29" s="1"/>
    </row>
    <row r="30" spans="1:15">
      <c r="A30" t="s">
        <v>16</v>
      </c>
      <c r="C30" s="14">
        <v>12800</v>
      </c>
      <c r="D30" s="15">
        <v>12800</v>
      </c>
      <c r="E30" s="15">
        <v>12400</v>
      </c>
      <c r="F30" s="15">
        <v>12400</v>
      </c>
      <c r="G30" s="15">
        <v>13800</v>
      </c>
      <c r="H30" s="16">
        <v>12400</v>
      </c>
      <c r="I30" s="14">
        <v>10300</v>
      </c>
      <c r="J30" s="15">
        <v>10300</v>
      </c>
      <c r="K30" s="15">
        <v>10700</v>
      </c>
      <c r="L30" s="16">
        <v>9700</v>
      </c>
      <c r="M30" s="14">
        <v>13100</v>
      </c>
      <c r="N30" s="16">
        <v>13100</v>
      </c>
      <c r="O30" s="1"/>
    </row>
    <row r="32" spans="1:15">
      <c r="A32" s="3" t="s">
        <v>23</v>
      </c>
    </row>
    <row r="33" spans="1:6">
      <c r="A33" t="s">
        <v>24</v>
      </c>
      <c r="C33" s="17" t="s">
        <v>33</v>
      </c>
      <c r="D33" s="19"/>
      <c r="E33" s="17" t="s">
        <v>34</v>
      </c>
      <c r="F33" s="19"/>
    </row>
    <row r="34" spans="1:6">
      <c r="A34" t="s">
        <v>25</v>
      </c>
      <c r="C34" s="23"/>
      <c r="D34" s="24"/>
      <c r="E34" s="23"/>
      <c r="F34" s="24"/>
    </row>
    <row r="35" spans="1:6">
      <c r="A35" t="s">
        <v>28</v>
      </c>
      <c r="C35" s="25">
        <v>1</v>
      </c>
      <c r="D35" s="26"/>
      <c r="E35" s="25">
        <v>0.8</v>
      </c>
      <c r="F35" s="26"/>
    </row>
    <row r="36" spans="1:6">
      <c r="A36" t="s">
        <v>29</v>
      </c>
      <c r="C36" s="25">
        <v>1</v>
      </c>
      <c r="D36" s="26"/>
      <c r="E36" s="25">
        <v>0.87</v>
      </c>
      <c r="F36" s="26"/>
    </row>
    <row r="37" spans="1:6">
      <c r="A37" t="s">
        <v>30</v>
      </c>
      <c r="C37" s="25">
        <v>1</v>
      </c>
      <c r="D37" s="26"/>
      <c r="E37" s="25">
        <v>0.75</v>
      </c>
      <c r="F37" s="26"/>
    </row>
    <row r="38" spans="1:6">
      <c r="A38" t="s">
        <v>31</v>
      </c>
      <c r="C38" s="25">
        <v>1</v>
      </c>
      <c r="D38" s="26"/>
      <c r="E38" s="25">
        <v>0.67</v>
      </c>
      <c r="F38" s="26"/>
    </row>
    <row r="39" spans="1:6">
      <c r="A39" t="s">
        <v>32</v>
      </c>
      <c r="C39" s="25">
        <v>1</v>
      </c>
      <c r="D39" s="26"/>
      <c r="E39" s="25">
        <v>0.75</v>
      </c>
      <c r="F39" s="26"/>
    </row>
    <row r="40" spans="1:6">
      <c r="A40" t="s">
        <v>27</v>
      </c>
      <c r="C40" s="25">
        <v>1</v>
      </c>
      <c r="D40" s="26"/>
      <c r="E40" s="25">
        <v>0.85</v>
      </c>
      <c r="F40" s="26"/>
    </row>
    <row r="41" spans="1:6">
      <c r="A41" t="s">
        <v>26</v>
      </c>
      <c r="C41" s="27">
        <v>1</v>
      </c>
      <c r="D41" s="28"/>
      <c r="E41" s="27">
        <v>0.9</v>
      </c>
      <c r="F41" s="28"/>
    </row>
    <row r="44" spans="1:6">
      <c r="A44" s="3" t="s">
        <v>42</v>
      </c>
      <c r="B44" t="s">
        <v>35</v>
      </c>
    </row>
    <row r="45" spans="1:6">
      <c r="A45" t="s">
        <v>37</v>
      </c>
      <c r="B45">
        <v>0.65</v>
      </c>
    </row>
    <row r="46" spans="1:6">
      <c r="A46" t="s">
        <v>84</v>
      </c>
      <c r="B46">
        <v>1</v>
      </c>
    </row>
    <row r="47" spans="1:6">
      <c r="A47" t="s">
        <v>36</v>
      </c>
      <c r="B47">
        <v>0.8</v>
      </c>
    </row>
    <row r="48" spans="1:6">
      <c r="A48" t="s">
        <v>38</v>
      </c>
      <c r="B48">
        <v>1</v>
      </c>
    </row>
    <row r="49" spans="1:2">
      <c r="A49" t="s">
        <v>39</v>
      </c>
      <c r="B49">
        <v>1.2</v>
      </c>
    </row>
    <row r="50" spans="1:2">
      <c r="A50" t="s">
        <v>40</v>
      </c>
      <c r="B50">
        <v>1.5</v>
      </c>
    </row>
    <row r="51" spans="1:2">
      <c r="A51" s="3" t="s">
        <v>41</v>
      </c>
      <c r="B51">
        <v>2</v>
      </c>
    </row>
    <row r="53" spans="1:2">
      <c r="A53" s="3" t="s">
        <v>43</v>
      </c>
      <c r="B53" t="s">
        <v>44</v>
      </c>
    </row>
    <row r="54" spans="1:2">
      <c r="A54" t="s">
        <v>48</v>
      </c>
      <c r="B54" t="s">
        <v>45</v>
      </c>
    </row>
    <row r="55" spans="1:2">
      <c r="A55" s="29" t="s">
        <v>47</v>
      </c>
      <c r="B55" t="s">
        <v>46</v>
      </c>
    </row>
    <row r="56" spans="1:2">
      <c r="A56" s="29" t="s">
        <v>49</v>
      </c>
      <c r="B56" t="s">
        <v>45</v>
      </c>
    </row>
    <row r="57" spans="1:2">
      <c r="A57" s="29" t="s">
        <v>50</v>
      </c>
      <c r="B57" t="s">
        <v>52</v>
      </c>
    </row>
    <row r="58" spans="1:2">
      <c r="A58" s="29" t="s">
        <v>51</v>
      </c>
      <c r="B58" t="s">
        <v>53</v>
      </c>
    </row>
    <row r="60" spans="1:2">
      <c r="A60" t="s">
        <v>100</v>
      </c>
    </row>
    <row r="61" spans="1:2">
      <c r="A61" t="s">
        <v>25</v>
      </c>
    </row>
    <row r="63" spans="1:2">
      <c r="A63" t="s">
        <v>119</v>
      </c>
    </row>
    <row r="65" spans="1:1">
      <c r="A65" t="s">
        <v>223</v>
      </c>
    </row>
    <row r="66" spans="1:1">
      <c r="A66" t="s">
        <v>221</v>
      </c>
    </row>
    <row r="68" spans="1:1">
      <c r="A68" t="s">
        <v>227</v>
      </c>
    </row>
    <row r="69" spans="1:1">
      <c r="A69" t="s">
        <v>275</v>
      </c>
    </row>
    <row r="70" spans="1:1">
      <c r="A70" t="s">
        <v>228</v>
      </c>
    </row>
    <row r="71" spans="1:1">
      <c r="A71" t="s">
        <v>229</v>
      </c>
    </row>
    <row r="73" spans="1:1">
      <c r="A73" t="s">
        <v>257</v>
      </c>
    </row>
    <row r="74" spans="1:1">
      <c r="A74" t="s">
        <v>258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Sheet1</vt:lpstr>
      <vt:lpstr>Sheet2</vt:lpstr>
      <vt:lpstr>beam</vt:lpstr>
      <vt:lpstr>Bending</vt:lpstr>
      <vt:lpstr>CC</vt:lpstr>
      <vt:lpstr>Grade</vt:lpstr>
      <vt:lpstr>Hem</vt:lpstr>
      <vt:lpstr>Ke</vt:lpstr>
      <vt:lpstr>KH</vt:lpstr>
      <vt:lpstr>KS</vt:lpstr>
      <vt:lpstr>Species</vt:lpstr>
      <vt:lpstr>Spruce</vt:lpstr>
      <vt:lpstr>Sprucee</vt:lpstr>
    </vt:vector>
  </TitlesOfParts>
  <Company>Carleton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Neeti Paudel</dc:creator>
  <cp:lastModifiedBy>%username%</cp:lastModifiedBy>
  <cp:lastPrinted>2014-04-01T15:02:53Z</cp:lastPrinted>
  <dcterms:created xsi:type="dcterms:W3CDTF">2014-03-27T17:24:52Z</dcterms:created>
  <dcterms:modified xsi:type="dcterms:W3CDTF">2014-04-01T15:09:46Z</dcterms:modified>
</cp:coreProperties>
</file>