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240" yWindow="135" windowWidth="19980" windowHeight="7800"/>
  </bookViews>
  <sheets>
    <sheet name="Lumber Column with Axial Load" sheetId="1" r:id="rId1"/>
    <sheet name="Property Tables" sheetId="2" r:id="rId2"/>
    <sheet name="Sheet3" sheetId="3" r:id="rId3"/>
  </sheets>
  <definedNames>
    <definedName name="_xlnm.Print_Area" localSheetId="0">'Lumber Column with Axial Load'!$A$1:$AW$124</definedName>
  </definedNames>
  <calcPr calcId="152511"/>
</workbook>
</file>

<file path=xl/calcChain.xml><?xml version="1.0" encoding="utf-8"?>
<calcChain xmlns="http://schemas.openxmlformats.org/spreadsheetml/2006/main">
  <c r="E103" i="1" l="1"/>
  <c r="F103" i="1" s="1"/>
  <c r="E101" i="1"/>
  <c r="F101" i="1" s="1"/>
  <c r="E97" i="1"/>
  <c r="F97" i="1" s="1"/>
  <c r="E95" i="1"/>
  <c r="F95" i="1" s="1"/>
  <c r="C103" i="1"/>
  <c r="D103" i="1" s="1"/>
  <c r="C101" i="1"/>
  <c r="D101" i="1" s="1"/>
  <c r="C97" i="1"/>
  <c r="D97" i="1" s="1"/>
  <c r="C95" i="1"/>
  <c r="D95" i="1" s="1"/>
  <c r="C81" i="1"/>
  <c r="C80" i="1" l="1"/>
  <c r="I81" i="1" l="1"/>
  <c r="I84" i="1"/>
  <c r="I82" i="1"/>
  <c r="C82" i="1"/>
  <c r="C83" i="1" l="1"/>
  <c r="I79" i="1" s="1"/>
  <c r="D64" i="1"/>
  <c r="AG11" i="1" s="1"/>
  <c r="D58" i="1"/>
  <c r="AG9" i="1" s="1"/>
  <c r="D57" i="1"/>
  <c r="AF11" i="1" s="1"/>
  <c r="D54" i="1"/>
  <c r="AF9" i="1" s="1"/>
  <c r="D53" i="1"/>
  <c r="AF8" i="1" s="1"/>
  <c r="D73" i="1"/>
  <c r="AG24" i="1" s="1"/>
  <c r="D72" i="1"/>
  <c r="AG23" i="1" s="1"/>
  <c r="D71" i="1"/>
  <c r="AG22" i="1" s="1"/>
  <c r="D70" i="1"/>
  <c r="AG21" i="1" s="1"/>
  <c r="D69" i="1"/>
  <c r="AG20" i="1" s="1"/>
  <c r="D68" i="1"/>
  <c r="D67" i="1"/>
  <c r="D66" i="1"/>
  <c r="D65" i="1"/>
  <c r="D63" i="1"/>
  <c r="AF15" i="1" s="1"/>
  <c r="D62" i="1"/>
  <c r="AF14" i="1" s="1"/>
  <c r="D61" i="1"/>
  <c r="AG10" i="1" s="1"/>
  <c r="D60" i="1"/>
  <c r="AF13" i="1" s="1"/>
  <c r="D59" i="1"/>
  <c r="AF12" i="1" s="1"/>
  <c r="D56" i="1"/>
  <c r="AF10" i="1" s="1"/>
  <c r="D55" i="1"/>
  <c r="AG8" i="1" s="1"/>
  <c r="D52" i="1"/>
  <c r="C43" i="1" s="1"/>
  <c r="I78" i="1" l="1"/>
  <c r="I83" i="1"/>
  <c r="AG14" i="1"/>
  <c r="AG18" i="1"/>
  <c r="AG19" i="1"/>
  <c r="AG15" i="1"/>
  <c r="AG16" i="1"/>
  <c r="AG12" i="1"/>
  <c r="AG17" i="1"/>
  <c r="AG13" i="1"/>
  <c r="C44" i="1"/>
  <c r="I80" i="1"/>
  <c r="I88" i="1" s="1"/>
  <c r="J92" i="1" l="1"/>
  <c r="O92" i="1"/>
  <c r="O98" i="1" s="1"/>
  <c r="J93" i="1"/>
  <c r="J99" i="1" s="1"/>
  <c r="O93" i="1"/>
  <c r="O99" i="1" s="1"/>
  <c r="C45" i="1"/>
  <c r="I89" i="1"/>
  <c r="I90" i="1"/>
  <c r="J98" i="1" l="1"/>
  <c r="L98" i="1" s="1"/>
  <c r="O97" i="1"/>
  <c r="O103" i="1" s="1"/>
  <c r="O96" i="1"/>
  <c r="O102" i="1" s="1"/>
  <c r="J96" i="1"/>
  <c r="J102" i="1" s="1"/>
  <c r="J97" i="1"/>
  <c r="J103" i="1" s="1"/>
  <c r="J95" i="1"/>
  <c r="J101" i="1" s="1"/>
  <c r="O95" i="1"/>
  <c r="O101" i="1" s="1"/>
  <c r="O94" i="1"/>
  <c r="O100" i="1" s="1"/>
  <c r="J94" i="1"/>
  <c r="J100" i="1" s="1"/>
  <c r="Q98" i="1"/>
  <c r="H43" i="1" l="1"/>
  <c r="Q102" i="1"/>
  <c r="L100" i="1"/>
  <c r="Q100" i="1"/>
  <c r="L102" i="1"/>
  <c r="H45" i="1" s="1"/>
  <c r="H44" i="1" l="1"/>
  <c r="I44" i="1" s="1"/>
</calcChain>
</file>

<file path=xl/sharedStrings.xml><?xml version="1.0" encoding="utf-8"?>
<sst xmlns="http://schemas.openxmlformats.org/spreadsheetml/2006/main" count="276" uniqueCount="164">
  <si>
    <t>Species</t>
  </si>
  <si>
    <t>Grade</t>
  </si>
  <si>
    <t>System Effect</t>
  </si>
  <si>
    <t>Service Condition</t>
  </si>
  <si>
    <t>Treatment</t>
  </si>
  <si>
    <t>Service Condtion</t>
  </si>
  <si>
    <t>Dry</t>
  </si>
  <si>
    <t>Wet</t>
  </si>
  <si>
    <t>System Factor</t>
  </si>
  <si>
    <t>No Mutual Support</t>
  </si>
  <si>
    <t xml:space="preserve">Treatment Factor </t>
  </si>
  <si>
    <t>None</t>
  </si>
  <si>
    <t>Treatment Unincised</t>
  </si>
  <si>
    <t>Treatment Incised</t>
  </si>
  <si>
    <t>Other (incl. Fire Retardant)</t>
  </si>
  <si>
    <t>Dropdown Menus</t>
  </si>
  <si>
    <t>3  Mutual Supporting members &lt; 610 mm apart</t>
  </si>
  <si>
    <t>Stud</t>
  </si>
  <si>
    <t>Select Structural</t>
  </si>
  <si>
    <t>No. 1</t>
  </si>
  <si>
    <t>No. 2</t>
  </si>
  <si>
    <t>No. 3</t>
  </si>
  <si>
    <t>Construction</t>
  </si>
  <si>
    <t>Standard</t>
  </si>
  <si>
    <t>Select</t>
  </si>
  <si>
    <t>Commercial</t>
  </si>
  <si>
    <t>D Fir-L</t>
  </si>
  <si>
    <t>Hem-Fir</t>
  </si>
  <si>
    <t>S-P-F</t>
  </si>
  <si>
    <t>Northern</t>
  </si>
  <si>
    <t>fc</t>
  </si>
  <si>
    <t>E05</t>
  </si>
  <si>
    <t xml:space="preserve">Table 5.3.1A </t>
  </si>
  <si>
    <t xml:space="preserve">Table 5.3.1B </t>
  </si>
  <si>
    <t xml:space="preserve">Table 5.3.1C </t>
  </si>
  <si>
    <t xml:space="preserve">Table 5.3.1D </t>
  </si>
  <si>
    <t>Spruce-Pine-Fir</t>
  </si>
  <si>
    <t>Category=</t>
  </si>
  <si>
    <t>fc=</t>
  </si>
  <si>
    <t>kh=</t>
  </si>
  <si>
    <t>ksc=</t>
  </si>
  <si>
    <t>kt=</t>
  </si>
  <si>
    <t>Combination</t>
  </si>
  <si>
    <t>1.4D</t>
  </si>
  <si>
    <t>2a</t>
  </si>
  <si>
    <t>1.25D + 1.5L</t>
  </si>
  <si>
    <t>2b</t>
  </si>
  <si>
    <t>1.25D + 1.5L + 0.5S</t>
  </si>
  <si>
    <t>2c</t>
  </si>
  <si>
    <t>1.25D + 1.5L + 0.4W</t>
  </si>
  <si>
    <t>2d</t>
  </si>
  <si>
    <t>0.9D + 1.5L</t>
  </si>
  <si>
    <t>2e</t>
  </si>
  <si>
    <t>0.9D + 1.5L + 0.5S</t>
  </si>
  <si>
    <t>2f</t>
  </si>
  <si>
    <t>0.9D + 1.5L + 0.4W</t>
  </si>
  <si>
    <t>3a</t>
  </si>
  <si>
    <t>1.25D + 1.5S</t>
  </si>
  <si>
    <t>3b</t>
  </si>
  <si>
    <t>1.25D + 1.5S + 0.5L</t>
  </si>
  <si>
    <t>3c</t>
  </si>
  <si>
    <t>1.25D + 1.5S + 0.4W</t>
  </si>
  <si>
    <t>3d</t>
  </si>
  <si>
    <t>0.9D + 1.5S</t>
  </si>
  <si>
    <t>3e</t>
  </si>
  <si>
    <t>0.9D + 1.5S + 0.5L</t>
  </si>
  <si>
    <t>3f</t>
  </si>
  <si>
    <t>0.9D + 1.5S + 0.4W</t>
  </si>
  <si>
    <t>4a</t>
  </si>
  <si>
    <t>1.25D + 1.4W</t>
  </si>
  <si>
    <t>4b</t>
  </si>
  <si>
    <t>1.25D + 1.4W + 0.5L</t>
  </si>
  <si>
    <t>4c</t>
  </si>
  <si>
    <t>1.25D + 1.4W + 0.5S</t>
  </si>
  <si>
    <t>4d</t>
  </si>
  <si>
    <t>0.9D + 1.4W</t>
  </si>
  <si>
    <t>4e</t>
  </si>
  <si>
    <t>0.9D + 1.4W + 0.5L</t>
  </si>
  <si>
    <t>4f</t>
  </si>
  <si>
    <t>0.9D + 1.4W + 0.5S</t>
  </si>
  <si>
    <t>5a</t>
  </si>
  <si>
    <t>1.0D + 1.0E</t>
  </si>
  <si>
    <t>5b</t>
  </si>
  <si>
    <t>1.0D + 1.0E + 0.5L</t>
  </si>
  <si>
    <t>5c</t>
  </si>
  <si>
    <t>1.0D + 1.0E + 0.25S</t>
  </si>
  <si>
    <t>D (kN)</t>
  </si>
  <si>
    <t>S (kN)</t>
  </si>
  <si>
    <t>L (kN)</t>
  </si>
  <si>
    <t>W (kN)</t>
  </si>
  <si>
    <t>E (kN)</t>
  </si>
  <si>
    <t>INPUT BELOW</t>
  </si>
  <si>
    <t xml:space="preserve">INPUT LOADS BELOW </t>
  </si>
  <si>
    <t>***(positve for compression, negative for tension)</t>
  </si>
  <si>
    <t>hlookup(</t>
  </si>
  <si>
    <t>INPUT COLUMN GEOMETRY BELOW:</t>
  </si>
  <si>
    <t>Smaller</t>
  </si>
  <si>
    <t>Larger</t>
  </si>
  <si>
    <t>KD</t>
  </si>
  <si>
    <t>Load Combos</t>
  </si>
  <si>
    <t>Hide this stuff</t>
  </si>
  <si>
    <t>Light Framing</t>
  </si>
  <si>
    <t>Structural light framing</t>
  </si>
  <si>
    <t>Structural joists and planks</t>
  </si>
  <si>
    <t>Beam and stringer</t>
  </si>
  <si>
    <t>Post and timber</t>
  </si>
  <si>
    <t>Plank Decking</t>
  </si>
  <si>
    <t>Category</t>
  </si>
  <si>
    <t># in L9</t>
  </si>
  <si>
    <t>Dimension Not Valid For This Grade</t>
  </si>
  <si>
    <t>E05=</t>
  </si>
  <si>
    <t>Maximum Unbraced Length  (m)=</t>
  </si>
  <si>
    <t xml:space="preserve">***If other unbraced length's end restraints differ from those of the </t>
  </si>
  <si>
    <t xml:space="preserve">     maximum unbraced length,  fill in the following. If not, leave blank</t>
  </si>
  <si>
    <t>Other Unbraced Length (m)=</t>
  </si>
  <si>
    <t xml:space="preserve">          Associated with depth</t>
  </si>
  <si>
    <t xml:space="preserve">          Associated with width</t>
  </si>
  <si>
    <t>End Constraints</t>
  </si>
  <si>
    <t>Fix-Fix</t>
  </si>
  <si>
    <t>Fix-Pin</t>
  </si>
  <si>
    <t>Pin-Pin</t>
  </si>
  <si>
    <t>Fix-Free</t>
  </si>
  <si>
    <t>Cc</t>
  </si>
  <si>
    <t>Difference</t>
  </si>
  <si>
    <t>kzc</t>
  </si>
  <si>
    <t>width b (mm)=</t>
  </si>
  <si>
    <t>depth d (mm)=</t>
  </si>
  <si>
    <t>k(constraint factor)</t>
  </si>
  <si>
    <t>Fc</t>
  </si>
  <si>
    <t>KSE=</t>
  </si>
  <si>
    <t>kzc&lt;=1.3</t>
  </si>
  <si>
    <t>Duration Factor</t>
  </si>
  <si>
    <t>Kcd=</t>
  </si>
  <si>
    <t>Kcb=</t>
  </si>
  <si>
    <t>Max Unbraced Length</t>
  </si>
  <si>
    <t>Other Unbraced Length</t>
  </si>
  <si>
    <t>Prd(kN)=</t>
  </si>
  <si>
    <t>Prb(kN)=</t>
  </si>
  <si>
    <t>Pr0.65 (kN)=</t>
  </si>
  <si>
    <t>Pr1 (kN)=</t>
  </si>
  <si>
    <t>Pr1.15(kN)=</t>
  </si>
  <si>
    <t>***If subsequent unique unbraced lengths, clear table and input them individually</t>
  </si>
  <si>
    <t>Inputs:</t>
  </si>
  <si>
    <t>Mpa</t>
  </si>
  <si>
    <t>MPa</t>
  </si>
  <si>
    <t>Intermidiate Calculations:</t>
  </si>
  <si>
    <t>Results:</t>
  </si>
  <si>
    <r>
      <t>Fact. Load P</t>
    </r>
    <r>
      <rPr>
        <b/>
        <sz val="9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(kN)</t>
    </r>
  </si>
  <si>
    <r>
      <t>Factored Load, kd=0.65   P</t>
    </r>
    <r>
      <rPr>
        <b/>
        <sz val="9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(kN) =</t>
    </r>
  </si>
  <si>
    <r>
      <t>Factored Load, kd=1.0      P</t>
    </r>
    <r>
      <rPr>
        <b/>
        <sz val="9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(kN) =</t>
    </r>
  </si>
  <si>
    <r>
      <t>Factored Load, kd=1.15    P</t>
    </r>
    <r>
      <rPr>
        <b/>
        <sz val="9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(kN) =</t>
    </r>
  </si>
  <si>
    <r>
      <t>Factored Load Resistance, kd=0.65   P</t>
    </r>
    <r>
      <rPr>
        <b/>
        <sz val="9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(kN) = </t>
    </r>
  </si>
  <si>
    <r>
      <t>Factored Load Resistance, kd=1.0      P</t>
    </r>
    <r>
      <rPr>
        <b/>
        <sz val="9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(kN) =</t>
    </r>
  </si>
  <si>
    <r>
      <t>Factored Load Resistance, kd=1.15    P</t>
    </r>
    <r>
      <rPr>
        <b/>
        <sz val="9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(kN) =</t>
    </r>
  </si>
  <si>
    <t>φ</t>
  </si>
  <si>
    <t xml:space="preserve">Canadian Standards Association (CSA) (2010) O86-09 Engineering design in wood (with Update No.1). </t>
  </si>
  <si>
    <t>Mississauga, ON: Canadian Standards Association</t>
  </si>
  <si>
    <t xml:space="preserve">   Associated with width</t>
  </si>
  <si>
    <t xml:space="preserve">  Associated with depth</t>
  </si>
  <si>
    <t xml:space="preserve">Lumber column with axial load and different unbraced length in both directions based on CAN/CSA-O86-09 </t>
  </si>
  <si>
    <t>Reference</t>
  </si>
  <si>
    <t>Tyler Brownell-Carleton University-CIVE 4202</t>
  </si>
  <si>
    <r>
      <rPr>
        <b/>
        <sz val="18"/>
        <color rgb="FFFF0000"/>
        <rFont val="Calibri"/>
        <family val="2"/>
        <scheme val="minor"/>
      </rPr>
      <t>Intermediate Load Combinations</t>
    </r>
    <r>
      <rPr>
        <sz val="18"/>
        <color rgb="FFFF0000"/>
        <rFont val="Calibri"/>
        <family val="2"/>
        <scheme val="minor"/>
      </rPr>
      <t>:</t>
    </r>
  </si>
  <si>
    <t>**FOR EDUCATIONAL PURPOSES ONLY-NOT FOR USE AS A DESIGN AID**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</si>
</sst>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0"/>
      <color rgb="FF000000"/>
      <name val="Arial"/>
      <family val="2"/>
    </font>
    <font>
      <sz val="9"/>
      <color rgb="FF333333"/>
      <name val="Verdana"/>
      <family val="2"/>
    </font>
    <font>
      <b/>
      <sz val="11"/>
      <color theme="1"/>
      <name val="Gill Sans MT"/>
      <family val="2"/>
    </font>
    <font>
      <b/>
      <sz val="11"/>
      <color rgb="FFFF0000"/>
      <name val="Calibri"/>
      <family val="2"/>
      <scheme val="minor"/>
    </font>
    <font>
      <sz val="11"/>
      <color rgb="FF333333"/>
      <name val="Verdana"/>
      <family val="2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Fill="1" applyBorder="1"/>
    <xf numFmtId="164" fontId="0" fillId="0" borderId="4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2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7" xfId="0" applyFill="1" applyBorder="1"/>
    <xf numFmtId="164" fontId="0" fillId="0" borderId="1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8" xfId="0" applyBorder="1"/>
    <xf numFmtId="0" fontId="0" fillId="0" borderId="4" xfId="0" applyFill="1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164" fontId="0" fillId="0" borderId="8" xfId="0" applyNumberFormat="1" applyFill="1" applyBorder="1" applyAlignment="1">
      <alignment horizontal="right"/>
    </xf>
    <xf numFmtId="0" fontId="12" fillId="2" borderId="0" xfId="0" applyFont="1" applyFill="1"/>
    <xf numFmtId="0" fontId="0" fillId="2" borderId="0" xfId="0" applyFill="1"/>
    <xf numFmtId="0" fontId="9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16" xfId="0" applyFill="1" applyBorder="1"/>
    <xf numFmtId="0" fontId="2" fillId="2" borderId="0" xfId="0" applyFont="1" applyFill="1" applyBorder="1"/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/>
    <xf numFmtId="0" fontId="0" fillId="2" borderId="17" xfId="0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1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4" xfId="0" applyFill="1" applyBorder="1"/>
    <xf numFmtId="0" fontId="6" fillId="2" borderId="17" xfId="0" applyFont="1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 applyAlignment="1">
      <alignment horizontal="right"/>
    </xf>
    <xf numFmtId="0" fontId="0" fillId="2" borderId="6" xfId="0" applyFill="1" applyBorder="1"/>
    <xf numFmtId="0" fontId="3" fillId="2" borderId="15" xfId="0" applyFont="1" applyFill="1" applyBorder="1" applyAlignment="1">
      <alignment horizontal="right"/>
    </xf>
    <xf numFmtId="0" fontId="0" fillId="2" borderId="10" xfId="0" applyFill="1" applyBorder="1"/>
    <xf numFmtId="0" fontId="2" fillId="2" borderId="2" xfId="0" applyFont="1" applyFill="1" applyBorder="1"/>
    <xf numFmtId="0" fontId="6" fillId="2" borderId="15" xfId="0" applyFont="1" applyFill="1" applyBorder="1" applyAlignment="1">
      <alignment horizontal="right"/>
    </xf>
    <xf numFmtId="0" fontId="0" fillId="2" borderId="1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0" fillId="2" borderId="11" xfId="0" applyFill="1" applyBorder="1"/>
    <xf numFmtId="0" fontId="2" fillId="2" borderId="7" xfId="0" applyFont="1" applyFill="1" applyBorder="1"/>
    <xf numFmtId="0" fontId="0" fillId="2" borderId="11" xfId="0" applyFont="1" applyFill="1" applyBorder="1"/>
    <xf numFmtId="0" fontId="0" fillId="2" borderId="2" xfId="0" applyFill="1" applyBorder="1"/>
    <xf numFmtId="0" fontId="0" fillId="2" borderId="11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5" fillId="2" borderId="0" xfId="0" applyFont="1" applyFill="1" applyBorder="1"/>
    <xf numFmtId="0" fontId="2" fillId="2" borderId="17" xfId="0" applyFont="1" applyFill="1" applyBorder="1"/>
    <xf numFmtId="0" fontId="0" fillId="2" borderId="3" xfId="0" applyFill="1" applyBorder="1"/>
    <xf numFmtId="0" fontId="0" fillId="2" borderId="18" xfId="0" applyFill="1" applyBorder="1"/>
    <xf numFmtId="0" fontId="0" fillId="2" borderId="1" xfId="0" applyFill="1" applyBorder="1"/>
    <xf numFmtId="0" fontId="2" fillId="2" borderId="11" xfId="0" applyFont="1" applyFill="1" applyBorder="1"/>
    <xf numFmtId="0" fontId="6" fillId="2" borderId="1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8" fillId="2" borderId="2" xfId="0" applyFont="1" applyFill="1" applyBorder="1"/>
    <xf numFmtId="0" fontId="8" fillId="2" borderId="10" xfId="0" applyFont="1" applyFill="1" applyBorder="1"/>
    <xf numFmtId="0" fontId="2" fillId="2" borderId="19" xfId="0" applyFont="1" applyFill="1" applyBorder="1"/>
    <xf numFmtId="0" fontId="2" fillId="2" borderId="15" xfId="0" applyFont="1" applyFill="1" applyBorder="1"/>
    <xf numFmtId="0" fontId="4" fillId="2" borderId="0" xfId="0" applyFont="1" applyFill="1" applyBorder="1"/>
    <xf numFmtId="0" fontId="0" fillId="2" borderId="11" xfId="0" applyFill="1" applyBorder="1" applyAlignment="1">
      <alignment horizontal="right"/>
    </xf>
    <xf numFmtId="0" fontId="2" fillId="2" borderId="20" xfId="0" applyFont="1" applyFill="1" applyBorder="1"/>
    <xf numFmtId="2" fontId="0" fillId="2" borderId="0" xfId="0" applyNumberFormat="1" applyFill="1" applyBorder="1" applyAlignment="1">
      <alignment horizontal="left"/>
    </xf>
    <xf numFmtId="0" fontId="7" fillId="2" borderId="15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7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2" xfId="0" applyFill="1" applyBorder="1"/>
    <xf numFmtId="164" fontId="0" fillId="2" borderId="0" xfId="0" applyNumberForma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26" xfId="0" applyFont="1" applyFill="1" applyBorder="1"/>
    <xf numFmtId="0" fontId="0" fillId="2" borderId="27" xfId="0" applyFont="1" applyFill="1" applyBorder="1"/>
    <xf numFmtId="0" fontId="0" fillId="2" borderId="0" xfId="0" applyFont="1" applyFill="1"/>
    <xf numFmtId="0" fontId="0" fillId="2" borderId="15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0" fillId="2" borderId="0" xfId="0" applyNumberFormat="1" applyFill="1"/>
    <xf numFmtId="0" fontId="2" fillId="2" borderId="0" xfId="0" applyFont="1" applyFill="1"/>
    <xf numFmtId="0" fontId="5" fillId="2" borderId="0" xfId="0" applyFont="1" applyFill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164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/>
    <xf numFmtId="0" fontId="1" fillId="2" borderId="15" xfId="0" applyFont="1" applyFill="1" applyBorder="1"/>
    <xf numFmtId="0" fontId="10" fillId="2" borderId="25" xfId="0" applyFont="1" applyFill="1" applyBorder="1"/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2"/>
  <sheetViews>
    <sheetView tabSelected="1" zoomScale="60" zoomScaleNormal="60" zoomScaleSheetLayoutView="50" zoomScalePageLayoutView="40" workbookViewId="0">
      <selection activeCell="B7" sqref="B7"/>
    </sheetView>
  </sheetViews>
  <sheetFormatPr defaultRowHeight="15" x14ac:dyDescent="0.25"/>
  <cols>
    <col min="1" max="1" width="7.7109375" style="26" customWidth="1"/>
    <col min="2" max="2" width="40.85546875" style="26" customWidth="1"/>
    <col min="3" max="3" width="26.28515625" style="26" customWidth="1"/>
    <col min="4" max="4" width="22.28515625" style="26" customWidth="1"/>
    <col min="5" max="5" width="20.7109375" style="26" customWidth="1"/>
    <col min="6" max="6" width="9.140625" style="26"/>
    <col min="7" max="7" width="13.85546875" style="26" customWidth="1"/>
    <col min="8" max="8" width="12.28515625" style="26" customWidth="1"/>
    <col min="9" max="9" width="29" style="26" customWidth="1"/>
    <col min="10" max="10" width="43.42578125" style="26" customWidth="1"/>
    <col min="11" max="11" width="12.28515625" style="26" customWidth="1"/>
    <col min="12" max="12" width="10" style="26" bestFit="1" customWidth="1"/>
    <col min="13" max="13" width="11" style="26" customWidth="1"/>
    <col min="14" max="14" width="34.85546875" style="26" customWidth="1"/>
    <col min="15" max="15" width="9.140625" style="26"/>
    <col min="16" max="16" width="11.85546875" style="26" customWidth="1"/>
    <col min="17" max="17" width="14.28515625" style="26" customWidth="1"/>
    <col min="18" max="18" width="10.7109375" style="26" customWidth="1"/>
    <col min="19" max="19" width="5.140625" style="26" customWidth="1"/>
    <col min="20" max="20" width="13.28515625" style="26" customWidth="1"/>
    <col min="21" max="21" width="14.140625" style="26" customWidth="1"/>
    <col min="22" max="23" width="9.140625" style="26"/>
    <col min="24" max="24" width="13.85546875" style="26" customWidth="1"/>
    <col min="25" max="25" width="13.140625" style="26" customWidth="1"/>
    <col min="26" max="28" width="9.140625" style="26"/>
    <col min="29" max="29" width="9.140625" style="26" customWidth="1"/>
    <col min="30" max="33" width="0" style="26" hidden="1" customWidth="1"/>
    <col min="34" max="16384" width="9.140625" style="26"/>
  </cols>
  <sheetData>
    <row r="1" spans="1:33" ht="33.75" x14ac:dyDescent="0.5">
      <c r="A1" s="25" t="s">
        <v>159</v>
      </c>
    </row>
    <row r="2" spans="1:33" ht="23.25" x14ac:dyDescent="0.35">
      <c r="A2" s="113" t="s">
        <v>163</v>
      </c>
    </row>
    <row r="4" spans="1:33" x14ac:dyDescent="0.25">
      <c r="A4" s="26" t="s">
        <v>161</v>
      </c>
    </row>
    <row r="6" spans="1:33" x14ac:dyDescent="0.25">
      <c r="AE6" s="26" t="s">
        <v>100</v>
      </c>
    </row>
    <row r="7" spans="1:33" x14ac:dyDescent="0.25">
      <c r="AD7" s="26" t="s">
        <v>98</v>
      </c>
      <c r="AE7" s="26">
        <v>0.65</v>
      </c>
      <c r="AF7" s="26">
        <v>1</v>
      </c>
      <c r="AG7" s="26">
        <v>1.1499999999999999</v>
      </c>
    </row>
    <row r="8" spans="1:33" x14ac:dyDescent="0.25">
      <c r="AD8" s="26" t="s">
        <v>99</v>
      </c>
      <c r="AF8" s="101">
        <f>D53</f>
        <v>0</v>
      </c>
      <c r="AG8" s="101">
        <f>D55</f>
        <v>0</v>
      </c>
    </row>
    <row r="9" spans="1:33" ht="15.75" thickBot="1" x14ac:dyDescent="0.3">
      <c r="AF9" s="101">
        <f>D54</f>
        <v>0</v>
      </c>
      <c r="AG9" s="101">
        <f>D58</f>
        <v>0</v>
      </c>
    </row>
    <row r="10" spans="1:33" ht="24" thickTop="1" x14ac:dyDescent="0.35">
      <c r="B10" s="27" t="s">
        <v>142</v>
      </c>
      <c r="C10" s="28"/>
      <c r="D10" s="28"/>
      <c r="E10" s="28"/>
      <c r="F10" s="28"/>
      <c r="G10" s="28"/>
      <c r="H10" s="28"/>
      <c r="I10" s="29"/>
      <c r="AF10" s="101">
        <f>D56</f>
        <v>0</v>
      </c>
      <c r="AG10" s="101">
        <f>D61</f>
        <v>0</v>
      </c>
    </row>
    <row r="11" spans="1:33" x14ac:dyDescent="0.25">
      <c r="B11" s="30"/>
      <c r="C11" s="31"/>
      <c r="D11" s="31"/>
      <c r="E11" s="31"/>
      <c r="F11" s="31"/>
      <c r="G11" s="31"/>
      <c r="H11" s="31"/>
      <c r="I11" s="32"/>
      <c r="AF11" s="101">
        <f>D57</f>
        <v>0</v>
      </c>
      <c r="AG11" s="101">
        <f>D64</f>
        <v>0</v>
      </c>
    </row>
    <row r="12" spans="1:33" x14ac:dyDescent="0.25">
      <c r="B12" s="37"/>
      <c r="C12" s="38" t="s">
        <v>91</v>
      </c>
      <c r="D12" s="31"/>
      <c r="E12" s="39" t="s">
        <v>92</v>
      </c>
      <c r="F12" s="36"/>
      <c r="G12" s="31"/>
      <c r="H12" s="31"/>
      <c r="I12" s="32"/>
      <c r="AF12" s="101">
        <f>D59</f>
        <v>0</v>
      </c>
      <c r="AG12" s="101">
        <f>D65</f>
        <v>0</v>
      </c>
    </row>
    <row r="13" spans="1:33" x14ac:dyDescent="0.25">
      <c r="B13" s="43" t="s">
        <v>0</v>
      </c>
      <c r="C13" s="44" t="s">
        <v>26</v>
      </c>
      <c r="D13" s="31"/>
      <c r="E13" s="39" t="s">
        <v>86</v>
      </c>
      <c r="F13" s="44">
        <v>0</v>
      </c>
      <c r="G13" s="31"/>
      <c r="H13" s="31"/>
      <c r="I13" s="32"/>
      <c r="AF13" s="101">
        <f>D60</f>
        <v>0</v>
      </c>
      <c r="AG13" s="101">
        <f>D66</f>
        <v>0</v>
      </c>
    </row>
    <row r="14" spans="1:33" x14ac:dyDescent="0.25">
      <c r="B14" s="47" t="s">
        <v>1</v>
      </c>
      <c r="C14" s="48" t="s">
        <v>20</v>
      </c>
      <c r="D14" s="31"/>
      <c r="E14" s="49" t="s">
        <v>87</v>
      </c>
      <c r="F14" s="48">
        <v>0</v>
      </c>
      <c r="G14" s="31"/>
      <c r="H14" s="31"/>
      <c r="I14" s="32"/>
      <c r="AF14" s="101">
        <f>D62</f>
        <v>0</v>
      </c>
      <c r="AG14" s="101">
        <f>D67</f>
        <v>0</v>
      </c>
    </row>
    <row r="15" spans="1:33" x14ac:dyDescent="0.25">
      <c r="B15" s="47" t="s">
        <v>8</v>
      </c>
      <c r="C15" s="48" t="s">
        <v>9</v>
      </c>
      <c r="D15" s="31"/>
      <c r="E15" s="49" t="s">
        <v>88</v>
      </c>
      <c r="F15" s="48">
        <v>0</v>
      </c>
      <c r="G15" s="31"/>
      <c r="H15" s="31"/>
      <c r="I15" s="32"/>
      <c r="AF15" s="101">
        <f>D63</f>
        <v>0</v>
      </c>
      <c r="AG15" s="101">
        <f>D68</f>
        <v>0</v>
      </c>
    </row>
    <row r="16" spans="1:33" x14ac:dyDescent="0.25">
      <c r="B16" s="50" t="s">
        <v>3</v>
      </c>
      <c r="C16" s="48" t="s">
        <v>6</v>
      </c>
      <c r="D16" s="31"/>
      <c r="E16" s="49" t="s">
        <v>89</v>
      </c>
      <c r="F16" s="51">
        <v>0</v>
      </c>
      <c r="G16" s="31"/>
      <c r="H16" s="31"/>
      <c r="I16" s="32"/>
      <c r="AG16" s="101">
        <f t="shared" ref="AG16:AG24" si="0">D65</f>
        <v>0</v>
      </c>
    </row>
    <row r="17" spans="2:33" x14ac:dyDescent="0.25">
      <c r="B17" s="53" t="s">
        <v>4</v>
      </c>
      <c r="C17" s="54" t="s">
        <v>11</v>
      </c>
      <c r="D17" s="31"/>
      <c r="E17" s="55" t="s">
        <v>90</v>
      </c>
      <c r="F17" s="56">
        <v>0</v>
      </c>
      <c r="G17" s="31"/>
      <c r="H17" s="31"/>
      <c r="I17" s="32"/>
      <c r="AG17" s="101">
        <f t="shared" si="0"/>
        <v>0</v>
      </c>
    </row>
    <row r="18" spans="2:33" x14ac:dyDescent="0.25">
      <c r="B18" s="30"/>
      <c r="C18" s="31"/>
      <c r="D18" s="31"/>
      <c r="E18" s="33" t="s">
        <v>93</v>
      </c>
      <c r="F18" s="31"/>
      <c r="G18" s="31"/>
      <c r="H18" s="31"/>
      <c r="I18" s="32"/>
      <c r="AG18" s="101">
        <f t="shared" si="0"/>
        <v>0</v>
      </c>
    </row>
    <row r="19" spans="2:33" x14ac:dyDescent="0.25">
      <c r="B19" s="30"/>
      <c r="C19" s="108"/>
      <c r="D19" s="31"/>
      <c r="E19" s="31"/>
      <c r="F19" s="31"/>
      <c r="G19" s="61"/>
      <c r="H19" s="31"/>
      <c r="I19" s="32"/>
      <c r="AG19" s="101">
        <f t="shared" si="0"/>
        <v>0</v>
      </c>
    </row>
    <row r="20" spans="2:33" x14ac:dyDescent="0.25">
      <c r="B20" s="30"/>
      <c r="C20" s="31"/>
      <c r="D20" s="31"/>
      <c r="E20" s="31"/>
      <c r="F20" s="31"/>
      <c r="G20" s="31"/>
      <c r="H20" s="31"/>
      <c r="I20" s="32"/>
      <c r="AG20" s="101">
        <f t="shared" si="0"/>
        <v>0</v>
      </c>
    </row>
    <row r="21" spans="2:33" x14ac:dyDescent="0.25">
      <c r="B21" s="30"/>
      <c r="C21" s="31"/>
      <c r="D21" s="31"/>
      <c r="E21" s="31"/>
      <c r="F21" s="31"/>
      <c r="G21" s="31"/>
      <c r="H21" s="31"/>
      <c r="I21" s="32"/>
      <c r="AG21" s="101">
        <f t="shared" si="0"/>
        <v>0</v>
      </c>
    </row>
    <row r="22" spans="2:33" x14ac:dyDescent="0.25">
      <c r="B22" s="30"/>
      <c r="C22" s="31"/>
      <c r="D22" s="31"/>
      <c r="E22" s="31"/>
      <c r="F22" s="31"/>
      <c r="G22" s="31"/>
      <c r="H22" s="31"/>
      <c r="I22" s="32"/>
      <c r="AG22" s="101">
        <f t="shared" si="0"/>
        <v>0</v>
      </c>
    </row>
    <row r="23" spans="2:33" x14ac:dyDescent="0.25">
      <c r="B23" s="30"/>
      <c r="C23" s="31"/>
      <c r="D23" s="31"/>
      <c r="E23" s="31"/>
      <c r="F23" s="31"/>
      <c r="G23" s="31"/>
      <c r="H23" s="31"/>
      <c r="I23" s="32"/>
      <c r="AG23" s="101">
        <f t="shared" si="0"/>
        <v>0</v>
      </c>
    </row>
    <row r="24" spans="2:33" x14ac:dyDescent="0.25">
      <c r="B24" s="62" t="s">
        <v>95</v>
      </c>
      <c r="C24" s="42"/>
      <c r="D24" s="44"/>
      <c r="E24" s="31"/>
      <c r="F24" s="31"/>
      <c r="G24" s="31"/>
      <c r="H24" s="31"/>
      <c r="I24" s="32"/>
      <c r="AG24" s="101">
        <f t="shared" si="0"/>
        <v>0</v>
      </c>
    </row>
    <row r="25" spans="2:33" x14ac:dyDescent="0.25">
      <c r="B25" s="64"/>
      <c r="C25" s="65"/>
      <c r="D25" s="66" t="s">
        <v>117</v>
      </c>
      <c r="E25" s="33"/>
      <c r="F25" s="31"/>
      <c r="G25" s="31"/>
      <c r="H25" s="31"/>
      <c r="I25" s="32"/>
    </row>
    <row r="26" spans="2:33" x14ac:dyDescent="0.25">
      <c r="B26" s="68" t="s">
        <v>125</v>
      </c>
      <c r="C26" s="44">
        <v>38</v>
      </c>
      <c r="D26" s="36"/>
      <c r="E26" s="31"/>
      <c r="F26" s="31"/>
      <c r="G26" s="31"/>
      <c r="H26" s="31"/>
      <c r="I26" s="32"/>
    </row>
    <row r="27" spans="2:33" x14ac:dyDescent="0.25">
      <c r="B27" s="67" t="s">
        <v>126</v>
      </c>
      <c r="C27" s="48">
        <v>89</v>
      </c>
      <c r="D27" s="46"/>
      <c r="E27" s="31"/>
      <c r="F27" s="31"/>
      <c r="G27" s="31"/>
      <c r="H27" s="31"/>
      <c r="I27" s="32"/>
    </row>
    <row r="28" spans="2:33" x14ac:dyDescent="0.25">
      <c r="B28" s="68" t="s">
        <v>111</v>
      </c>
      <c r="C28" s="48">
        <v>1</v>
      </c>
      <c r="D28" s="46" t="s">
        <v>120</v>
      </c>
      <c r="E28" s="31"/>
      <c r="F28" s="31"/>
      <c r="G28" s="31"/>
      <c r="H28" s="31"/>
      <c r="I28" s="32"/>
    </row>
    <row r="29" spans="2:33" x14ac:dyDescent="0.25">
      <c r="B29" s="72" t="s">
        <v>157</v>
      </c>
      <c r="C29" s="48"/>
      <c r="D29" s="46"/>
      <c r="E29" s="31"/>
      <c r="F29" s="31"/>
      <c r="G29" s="31"/>
      <c r="H29" s="31"/>
      <c r="I29" s="32"/>
    </row>
    <row r="30" spans="2:33" x14ac:dyDescent="0.25">
      <c r="B30" s="68" t="s">
        <v>111</v>
      </c>
      <c r="C30" s="48">
        <v>1</v>
      </c>
      <c r="D30" s="46" t="s">
        <v>120</v>
      </c>
      <c r="E30" s="74"/>
      <c r="F30" s="31"/>
      <c r="G30" s="31"/>
      <c r="H30" s="31"/>
      <c r="I30" s="32"/>
    </row>
    <row r="31" spans="2:33" x14ac:dyDescent="0.25">
      <c r="B31" s="76" t="s">
        <v>158</v>
      </c>
      <c r="C31" s="54"/>
      <c r="D31" s="46"/>
      <c r="E31" s="31"/>
      <c r="F31" s="31"/>
      <c r="G31" s="31"/>
      <c r="H31" s="31"/>
      <c r="I31" s="32"/>
    </row>
    <row r="32" spans="2:33" x14ac:dyDescent="0.25">
      <c r="B32" s="78" t="s">
        <v>112</v>
      </c>
      <c r="C32" s="31"/>
      <c r="D32" s="44"/>
      <c r="E32" s="31"/>
      <c r="F32" s="31"/>
      <c r="G32" s="31"/>
      <c r="H32" s="31"/>
      <c r="I32" s="32"/>
    </row>
    <row r="33" spans="2:15" x14ac:dyDescent="0.25">
      <c r="B33" s="78" t="s">
        <v>113</v>
      </c>
      <c r="C33" s="31"/>
      <c r="D33" s="54"/>
      <c r="E33" s="31"/>
      <c r="F33" s="31"/>
      <c r="G33" s="31"/>
      <c r="H33" s="31"/>
      <c r="I33" s="32"/>
    </row>
    <row r="34" spans="2:15" x14ac:dyDescent="0.25">
      <c r="B34" s="79" t="s">
        <v>114</v>
      </c>
      <c r="C34" s="44">
        <v>0</v>
      </c>
      <c r="D34" s="46" t="s">
        <v>120</v>
      </c>
      <c r="E34" s="31"/>
      <c r="F34" s="31"/>
      <c r="G34" s="31"/>
      <c r="H34" s="31"/>
      <c r="I34" s="32"/>
    </row>
    <row r="35" spans="2:15" x14ac:dyDescent="0.25">
      <c r="B35" s="80" t="s">
        <v>116</v>
      </c>
      <c r="C35" s="48"/>
      <c r="D35" s="48"/>
      <c r="E35" s="31"/>
      <c r="F35" s="31"/>
      <c r="G35" s="31"/>
      <c r="H35" s="31"/>
      <c r="I35" s="32"/>
    </row>
    <row r="36" spans="2:15" x14ac:dyDescent="0.25">
      <c r="B36" s="68" t="s">
        <v>114</v>
      </c>
      <c r="C36" s="48">
        <v>0</v>
      </c>
      <c r="D36" s="46" t="s">
        <v>120</v>
      </c>
      <c r="E36" s="31"/>
      <c r="F36" s="31"/>
      <c r="G36" s="31"/>
      <c r="H36" s="31"/>
      <c r="I36" s="32"/>
    </row>
    <row r="37" spans="2:15" x14ac:dyDescent="0.25">
      <c r="B37" s="82" t="s">
        <v>115</v>
      </c>
      <c r="C37" s="54"/>
      <c r="D37" s="54"/>
      <c r="E37" s="31"/>
      <c r="F37" s="33"/>
      <c r="G37" s="31"/>
      <c r="H37" s="31"/>
      <c r="I37" s="32"/>
      <c r="O37" s="31"/>
    </row>
    <row r="38" spans="2:15" ht="15.75" thickBot="1" x14ac:dyDescent="0.3">
      <c r="B38" s="83" t="s">
        <v>141</v>
      </c>
      <c r="C38" s="84"/>
      <c r="D38" s="84"/>
      <c r="E38" s="84"/>
      <c r="F38" s="84"/>
      <c r="G38" s="84"/>
      <c r="H38" s="84"/>
      <c r="I38" s="85"/>
      <c r="O38" s="31"/>
    </row>
    <row r="39" spans="2:15" ht="15.75" thickTop="1" x14ac:dyDescent="0.25">
      <c r="D39" s="31"/>
      <c r="O39" s="31"/>
    </row>
    <row r="40" spans="2:15" ht="15.75" thickBot="1" x14ac:dyDescent="0.3">
      <c r="D40" s="31"/>
      <c r="O40" s="31"/>
    </row>
    <row r="41" spans="2:15" ht="24" thickTop="1" x14ac:dyDescent="0.35">
      <c r="B41" s="27" t="s">
        <v>146</v>
      </c>
      <c r="C41" s="28"/>
      <c r="D41" s="28"/>
      <c r="E41" s="28"/>
      <c r="F41" s="28"/>
      <c r="G41" s="28"/>
      <c r="H41" s="28"/>
      <c r="I41" s="28"/>
      <c r="J41" s="28"/>
      <c r="K41" s="29"/>
      <c r="L41" s="31"/>
      <c r="M41" s="31"/>
      <c r="N41" s="31"/>
    </row>
    <row r="42" spans="2:15" x14ac:dyDescent="0.25">
      <c r="B42" s="30"/>
      <c r="C42" s="31"/>
      <c r="D42" s="31"/>
      <c r="E42" s="31"/>
      <c r="F42" s="31"/>
      <c r="G42" s="31"/>
      <c r="H42" s="31"/>
      <c r="I42" s="31"/>
      <c r="J42" s="31"/>
      <c r="K42" s="32"/>
      <c r="L42" s="31"/>
      <c r="M42" s="31"/>
      <c r="N42" s="31"/>
    </row>
    <row r="43" spans="2:15" x14ac:dyDescent="0.25">
      <c r="B43" s="81" t="s">
        <v>148</v>
      </c>
      <c r="C43" s="87">
        <f>D52</f>
        <v>0</v>
      </c>
      <c r="D43" s="88" t="s">
        <v>151</v>
      </c>
      <c r="E43" s="31"/>
      <c r="F43" s="31"/>
      <c r="G43" s="31"/>
      <c r="H43" s="77">
        <f>IF(OR(J92="Member too slender",J93="Member too slender"),"member too slender",IF(OR(C34&gt;0,C36&gt;0),MIN(L98,Q98),L98))</f>
        <v>17.025403523304121</v>
      </c>
      <c r="I43" s="110"/>
      <c r="J43" s="33"/>
      <c r="K43" s="32"/>
      <c r="L43" s="31"/>
      <c r="M43" s="31"/>
      <c r="N43" s="109"/>
    </row>
    <row r="44" spans="2:15" ht="23.25" x14ac:dyDescent="0.35">
      <c r="B44" s="81" t="s">
        <v>149</v>
      </c>
      <c r="C44" s="87">
        <f>MAX(AF8:AF15)</f>
        <v>0</v>
      </c>
      <c r="D44" s="88" t="s">
        <v>152</v>
      </c>
      <c r="E44" s="31"/>
      <c r="F44" s="31"/>
      <c r="G44" s="31"/>
      <c r="H44" s="77">
        <f>IF(OR(J92="Member too slender",J93="Member too slender"),"member too slender",IF(OR(C34&gt;0,C36&gt;0),MIN(L100,Q100),L100))</f>
        <v>20.920180023183182</v>
      </c>
      <c r="I44" s="89" t="str">
        <f>IF(OR(H43="member too slender",H44="member too slender",H45="member too slender"),"The member is too slender, choose a larger size",IF(AND(D95&lt;50,D97&lt;50,H43&gt;C43,H44&gt;C44,H45&gt;C45),"Design is adequate for the given unfactored loads","Design is inadequate for the given load conditions, try increasing the size of the member"))</f>
        <v>Design is adequate for the given unfactored loads</v>
      </c>
      <c r="J44" s="31"/>
      <c r="K44" s="32"/>
      <c r="L44" s="31"/>
      <c r="M44" s="31"/>
      <c r="N44" s="31"/>
    </row>
    <row r="45" spans="2:15" x14ac:dyDescent="0.25">
      <c r="B45" s="81" t="s">
        <v>150</v>
      </c>
      <c r="C45" s="87">
        <f>MAX(AG8:AG24)</f>
        <v>0</v>
      </c>
      <c r="D45" s="88" t="s">
        <v>153</v>
      </c>
      <c r="E45" s="31"/>
      <c r="F45" s="31"/>
      <c r="G45" s="31"/>
      <c r="H45" s="77">
        <f>IF(OR(J92="Member too slender",J93="Member too slender"),"member too slender",IF(OR(C34&gt;0,C36&gt;0),MIN(L102,Q102),L102))</f>
        <v>22.147472371186762</v>
      </c>
      <c r="I45" s="31"/>
      <c r="J45" s="31"/>
      <c r="K45" s="32"/>
      <c r="L45" s="31"/>
      <c r="M45" s="31"/>
      <c r="N45" s="31"/>
    </row>
    <row r="46" spans="2:15" ht="15.75" thickBot="1" x14ac:dyDescent="0.3">
      <c r="B46" s="86"/>
      <c r="C46" s="84"/>
      <c r="D46" s="84"/>
      <c r="E46" s="84"/>
      <c r="F46" s="84"/>
      <c r="G46" s="84"/>
      <c r="H46" s="84"/>
      <c r="I46" s="84"/>
      <c r="J46" s="84"/>
      <c r="K46" s="85"/>
      <c r="L46" s="31"/>
      <c r="M46" s="31"/>
      <c r="N46" s="31"/>
    </row>
    <row r="47" spans="2:15" ht="15.75" thickTop="1" x14ac:dyDescent="0.25"/>
    <row r="49" spans="2:9" ht="15.75" thickBot="1" x14ac:dyDescent="0.3"/>
    <row r="50" spans="2:9" ht="24.75" thickTop="1" thickBot="1" x14ac:dyDescent="0.4">
      <c r="B50" s="112" t="s">
        <v>162</v>
      </c>
      <c r="C50" s="90"/>
      <c r="D50" s="90"/>
      <c r="E50" s="91"/>
      <c r="F50" s="92"/>
    </row>
    <row r="51" spans="2:9" ht="15.75" thickTop="1" x14ac:dyDescent="0.25">
      <c r="B51" s="93"/>
      <c r="C51" s="88" t="s">
        <v>42</v>
      </c>
      <c r="D51" s="94" t="s">
        <v>147</v>
      </c>
      <c r="E51" s="95" t="s">
        <v>98</v>
      </c>
      <c r="F51" s="96"/>
    </row>
    <row r="52" spans="2:9" ht="17.25" x14ac:dyDescent="0.35">
      <c r="B52" s="97">
        <v>1</v>
      </c>
      <c r="C52" s="98" t="s">
        <v>43</v>
      </c>
      <c r="D52" s="99">
        <f>1.4*$F$13</f>
        <v>0</v>
      </c>
      <c r="E52" s="100">
        <v>0.65</v>
      </c>
      <c r="F52" s="99"/>
    </row>
    <row r="53" spans="2:9" ht="17.25" x14ac:dyDescent="0.35">
      <c r="B53" s="97" t="s">
        <v>44</v>
      </c>
      <c r="C53" s="98" t="s">
        <v>45</v>
      </c>
      <c r="D53" s="99">
        <f>1.25*$F$13+1.5*$F$15</f>
        <v>0</v>
      </c>
      <c r="E53" s="100">
        <v>1</v>
      </c>
      <c r="F53" s="99"/>
    </row>
    <row r="54" spans="2:9" ht="17.25" x14ac:dyDescent="0.35">
      <c r="B54" s="97" t="s">
        <v>46</v>
      </c>
      <c r="C54" s="98" t="s">
        <v>47</v>
      </c>
      <c r="D54" s="99">
        <f>1.25*$F$13+1.5*$F$15+0.5*$F$14</f>
        <v>0</v>
      </c>
      <c r="E54" s="100">
        <v>1</v>
      </c>
      <c r="F54" s="99"/>
    </row>
    <row r="55" spans="2:9" ht="17.25" x14ac:dyDescent="0.35">
      <c r="B55" s="97" t="s">
        <v>48</v>
      </c>
      <c r="C55" s="98" t="s">
        <v>49</v>
      </c>
      <c r="D55" s="99">
        <f>1.25*$F$13+1.5*$F$15+0.4*$F$16</f>
        <v>0</v>
      </c>
      <c r="E55" s="100">
        <v>1.1499999999999999</v>
      </c>
      <c r="F55" s="99"/>
    </row>
    <row r="56" spans="2:9" ht="17.25" x14ac:dyDescent="0.35">
      <c r="B56" s="97" t="s">
        <v>50</v>
      </c>
      <c r="C56" s="98" t="s">
        <v>51</v>
      </c>
      <c r="D56" s="99">
        <f>0.9*$F$13+1.5*$F$15</f>
        <v>0</v>
      </c>
      <c r="E56" s="100">
        <v>1</v>
      </c>
      <c r="F56" s="99"/>
      <c r="G56" s="102"/>
    </row>
    <row r="57" spans="2:9" ht="17.25" x14ac:dyDescent="0.35">
      <c r="B57" s="97" t="s">
        <v>52</v>
      </c>
      <c r="C57" s="98" t="s">
        <v>53</v>
      </c>
      <c r="D57" s="99">
        <f>0.9*$F$13+1.5*$F$15+0.5*$F$14</f>
        <v>0</v>
      </c>
      <c r="E57" s="100">
        <v>1</v>
      </c>
      <c r="F57" s="99"/>
      <c r="G57" s="102"/>
    </row>
    <row r="58" spans="2:9" ht="17.25" x14ac:dyDescent="0.35">
      <c r="B58" s="97" t="s">
        <v>54</v>
      </c>
      <c r="C58" s="98" t="s">
        <v>55</v>
      </c>
      <c r="D58" s="99">
        <f>0.9*$F$13+1.5*$F$15+0.4*$F$16</f>
        <v>0</v>
      </c>
      <c r="E58" s="100">
        <v>1.1499999999999999</v>
      </c>
      <c r="F58" s="99"/>
      <c r="G58" s="102"/>
      <c r="H58" s="102"/>
    </row>
    <row r="59" spans="2:9" ht="17.25" x14ac:dyDescent="0.35">
      <c r="B59" s="97" t="s">
        <v>56</v>
      </c>
      <c r="C59" s="98" t="s">
        <v>57</v>
      </c>
      <c r="D59" s="99">
        <f>1.25*$F$13+1.5*$F$14</f>
        <v>0</v>
      </c>
      <c r="E59" s="100">
        <v>1</v>
      </c>
      <c r="F59" s="99"/>
      <c r="G59" s="102"/>
      <c r="H59" s="102"/>
    </row>
    <row r="60" spans="2:9" ht="17.25" x14ac:dyDescent="0.35">
      <c r="B60" s="97" t="s">
        <v>58</v>
      </c>
      <c r="C60" s="98" t="s">
        <v>59</v>
      </c>
      <c r="D60" s="99">
        <f>1.25*$F13+1.5*$F$14+0.5*$F$15</f>
        <v>0</v>
      </c>
      <c r="E60" s="100">
        <v>1</v>
      </c>
      <c r="F60" s="99"/>
      <c r="G60" s="102"/>
      <c r="H60" s="102"/>
    </row>
    <row r="61" spans="2:9" ht="17.25" x14ac:dyDescent="0.35">
      <c r="B61" s="97" t="s">
        <v>60</v>
      </c>
      <c r="C61" s="98" t="s">
        <v>61</v>
      </c>
      <c r="D61" s="99">
        <f>1.25*$F$13+1.5*$F$14+0.4*$F$16</f>
        <v>0</v>
      </c>
      <c r="E61" s="100">
        <v>1.1499999999999999</v>
      </c>
      <c r="F61" s="99"/>
      <c r="G61" s="102"/>
      <c r="H61" s="102"/>
    </row>
    <row r="62" spans="2:9" ht="17.25" x14ac:dyDescent="0.35">
      <c r="B62" s="97" t="s">
        <v>62</v>
      </c>
      <c r="C62" s="98" t="s">
        <v>63</v>
      </c>
      <c r="D62" s="99">
        <f>0.9*$F$13+1.5*$F$14</f>
        <v>0</v>
      </c>
      <c r="E62" s="100">
        <v>1</v>
      </c>
      <c r="F62" s="99"/>
      <c r="G62" s="102"/>
      <c r="H62" s="102"/>
      <c r="I62" s="103"/>
    </row>
    <row r="63" spans="2:9" ht="17.25" x14ac:dyDescent="0.35">
      <c r="B63" s="97" t="s">
        <v>64</v>
      </c>
      <c r="C63" s="98" t="s">
        <v>65</v>
      </c>
      <c r="D63" s="99">
        <f>0.9*$F$13+1.5*$F$14+0.5*$F$15</f>
        <v>0</v>
      </c>
      <c r="E63" s="100">
        <v>1</v>
      </c>
      <c r="F63" s="99"/>
    </row>
    <row r="64" spans="2:9" ht="17.25" x14ac:dyDescent="0.35">
      <c r="B64" s="97" t="s">
        <v>66</v>
      </c>
      <c r="C64" s="98" t="s">
        <v>67</v>
      </c>
      <c r="D64" s="99">
        <f>0.9*$F$13+1.5*$F$14+0.4*$F$16</f>
        <v>0</v>
      </c>
      <c r="E64" s="100">
        <v>1.1499999999999999</v>
      </c>
      <c r="F64" s="99"/>
    </row>
    <row r="65" spans="1:19" ht="17.25" x14ac:dyDescent="0.35">
      <c r="B65" s="97" t="s">
        <v>68</v>
      </c>
      <c r="C65" s="98" t="s">
        <v>69</v>
      </c>
      <c r="D65" s="99">
        <f>1.25*$F$13+1.4*$F$16</f>
        <v>0</v>
      </c>
      <c r="E65" s="100">
        <v>1.1499999999999999</v>
      </c>
      <c r="F65" s="99"/>
    </row>
    <row r="66" spans="1:19" ht="17.25" x14ac:dyDescent="0.35">
      <c r="B66" s="97" t="s">
        <v>70</v>
      </c>
      <c r="C66" s="98" t="s">
        <v>71</v>
      </c>
      <c r="D66" s="99">
        <f>1.25*$F$13+1.4*$F$16+0.5*$F$15</f>
        <v>0</v>
      </c>
      <c r="E66" s="100">
        <v>1.1499999999999999</v>
      </c>
      <c r="F66" s="99"/>
    </row>
    <row r="67" spans="1:19" ht="17.25" x14ac:dyDescent="0.35">
      <c r="B67" s="97" t="s">
        <v>72</v>
      </c>
      <c r="C67" s="98" t="s">
        <v>73</v>
      </c>
      <c r="D67" s="99">
        <f>1.25*$F$13+1.4*$F$16+0.5*$F$14</f>
        <v>0</v>
      </c>
      <c r="E67" s="100">
        <v>1.1499999999999999</v>
      </c>
      <c r="F67" s="99"/>
    </row>
    <row r="68" spans="1:19" ht="17.25" x14ac:dyDescent="0.35">
      <c r="B68" s="97" t="s">
        <v>74</v>
      </c>
      <c r="C68" s="98" t="s">
        <v>75</v>
      </c>
      <c r="D68" s="99">
        <f>0.9*$F$13+1.4*$F$16</f>
        <v>0</v>
      </c>
      <c r="E68" s="100">
        <v>1.1499999999999999</v>
      </c>
      <c r="F68" s="99"/>
    </row>
    <row r="69" spans="1:19" ht="17.25" x14ac:dyDescent="0.35">
      <c r="B69" s="97" t="s">
        <v>76</v>
      </c>
      <c r="C69" s="98" t="s">
        <v>77</v>
      </c>
      <c r="D69" s="99">
        <f>0.9*$F$13+1.4*$F$16+0.5*$F$15</f>
        <v>0</v>
      </c>
      <c r="E69" s="100">
        <v>1.1499999999999999</v>
      </c>
      <c r="F69" s="99"/>
    </row>
    <row r="70" spans="1:19" ht="17.25" x14ac:dyDescent="0.35">
      <c r="B70" s="97" t="s">
        <v>78</v>
      </c>
      <c r="C70" s="98" t="s">
        <v>79</v>
      </c>
      <c r="D70" s="99">
        <f>0.9*$F$13+1.4*$F$16+0.5*$F$14</f>
        <v>0</v>
      </c>
      <c r="E70" s="100">
        <v>1.1499999999999999</v>
      </c>
      <c r="F70" s="99"/>
    </row>
    <row r="71" spans="1:19" ht="17.25" x14ac:dyDescent="0.35">
      <c r="B71" s="97" t="s">
        <v>80</v>
      </c>
      <c r="C71" s="98" t="s">
        <v>81</v>
      </c>
      <c r="D71" s="99">
        <f>1*$F$13+1*$F$17</f>
        <v>0</v>
      </c>
      <c r="E71" s="100">
        <v>1.1499999999999999</v>
      </c>
      <c r="F71" s="99"/>
    </row>
    <row r="72" spans="1:19" ht="17.25" x14ac:dyDescent="0.35">
      <c r="B72" s="97" t="s">
        <v>82</v>
      </c>
      <c r="C72" s="98" t="s">
        <v>83</v>
      </c>
      <c r="D72" s="99">
        <f>1*$F$13+1*$F$17+0.5*$F$15</f>
        <v>0</v>
      </c>
      <c r="E72" s="100">
        <v>1.1499999999999999</v>
      </c>
      <c r="F72" s="99"/>
    </row>
    <row r="73" spans="1:19" ht="18" thickBot="1" x14ac:dyDescent="0.4">
      <c r="B73" s="104" t="s">
        <v>84</v>
      </c>
      <c r="C73" s="105" t="s">
        <v>85</v>
      </c>
      <c r="D73" s="106">
        <f>1*$F$13+1*$F$17+0.25*$F$14</f>
        <v>0</v>
      </c>
      <c r="E73" s="107">
        <v>1.1499999999999999</v>
      </c>
      <c r="F73" s="99"/>
    </row>
    <row r="74" spans="1:19" ht="18" thickTop="1" x14ac:dyDescent="0.35">
      <c r="A74" s="40"/>
      <c r="B74" s="40"/>
      <c r="C74" s="40"/>
      <c r="D74" s="52"/>
      <c r="E74" s="99"/>
    </row>
    <row r="76" spans="1:19" ht="15.75" thickBot="1" x14ac:dyDescent="0.3"/>
    <row r="77" spans="1:19" ht="24" thickTop="1" x14ac:dyDescent="0.35">
      <c r="B77" s="27" t="s">
        <v>145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0"/>
    </row>
    <row r="78" spans="1:19" x14ac:dyDescent="0.25">
      <c r="B78" s="30"/>
      <c r="C78" s="31"/>
      <c r="H78" s="34" t="s">
        <v>37</v>
      </c>
      <c r="I78" s="35" t="str">
        <f>IF(C83=1,"Light Framing",IF(C83=2,"Stud",IF(C83=3,"Structural Light Framing",IF(C83=4,"Structural Joists and Planks",IF(C83=5,"Beam and Stringer",IF(C83=6,"Post and Timber",IF(C83=7,"Plank Decking",IF(C83=8,"Dimension Not Valid For This Grade"))))))))</f>
        <v>Structural Light Framing</v>
      </c>
      <c r="J78" s="36"/>
      <c r="K78" s="31"/>
      <c r="L78" s="31"/>
      <c r="M78" s="31"/>
      <c r="N78" s="31"/>
      <c r="O78" s="31"/>
      <c r="P78" s="31"/>
      <c r="Q78" s="31"/>
      <c r="R78" s="31"/>
      <c r="S78" s="30"/>
    </row>
    <row r="79" spans="1:19" x14ac:dyDescent="0.25">
      <c r="B79" s="30"/>
      <c r="C79" s="31"/>
      <c r="D79" s="31"/>
      <c r="E79" s="33" t="s">
        <v>107</v>
      </c>
      <c r="F79" s="33" t="s">
        <v>108</v>
      </c>
      <c r="H79" s="41" t="s">
        <v>38</v>
      </c>
      <c r="I79" s="42">
        <f>IF(AND((OR(C83=4,C83=3,C83=2,C83=7)),(OR(C14="No. 1",C14="No. 2",C14="Commercial")),C13="D Fir-L"),'Property Tables'!D21,IF(AND((OR(C83=4,C83=3,C83=2,C83=7)),(OR(C14="No. 1",C14="No. 2",C14="Commercial")),C13="Hem-Fir"),'Property Tables'!F21,IF(AND((OR(C83=4,C83=3,C83=2,C83=7)),(OR(C14="No. 1",C14="No. 2",C14="Commercial")),C13="Spruce-Pine-Fir"),'Property Tables'!H21,IF(AND((OR(C83=4,C83=3,C83=2,C83=7)),(OR(C14="No. 1",C14="No. 2",C14="Commercial")),C13="Northern"),'Property Tables'!J21,IF(AND((OR(C83=4,C83=3,C83=2)),(OR(C14="No. 3",C14="Stud")),C13="D Fir-L"),'Property Tables'!D24,IF(AND((OR(C83=4,C83=3,C83=2)),(OR(C14="No. 3",C14="Stud")),C13="Hem-Fir"),'Property Tables'!F24,IF(AND((OR(C83=4,C83=3,C83=2)),(OR(C14="No. 3",C14="Stud")),C13="Spruce-Pine-Fir"),'Property Tables'!H24,IF(AND((OR(C83=4,C83=3,C83=2)),(OR(C14="No. 3",C14="Stud")),C13="Northern"),'Property Tables'!J24,IF(AND((OR(C83=4,C83=3,C83=2,C83=7)),(OR(C14="Select Structural",C14="Select")),C13="D Fir-L"),'Property Tables'!D20,IF(AND((OR(C83=4,C83=3,C83=2,C83=7)),(OR(C14="Select Structural")),C14="Select",C13="Hem-Fir"),'Property Tables'!F20,IF(AND((OR(C83=4,C83=3,C83=2,C83=7)),(OR(C14="Select Structural",C14="Select")),C13="Spruce-Pine-Fir"),'Property Tables'!H20,IF(AND((OR(C83=4,C83=3,C83=2,C83=7)),(OR(C14="Select Structural",C14="Select")),C13="Northern"),'Property Tables'!J20,IF(AND(C83=1,C14="Standard",C13="D Fir-L"),'Property Tables'!L26,IF(AND(C83=1,C14="Standard",C13="Hem-Fir"),'Property Tables'!N26,IF(AND(C83=1,C14="Standard",C13="Spruce-Pine-Fir"),'Property Tables'!P26,IF(AND(C83=1,C14="Standard",C13="Northern"),'Property Tables'!R26,IF(AND(C83=1,C14="Construction",C13="D Fir-L"),'Property Tables'!L25,IF(AND(C83=1,C14="Construction",C13="Hem-Fir"),'Property Tables'!N25,IF(AND(C83=1,C14="Construction",C13="Spruce-Pine-Fir"),'Property Tables'!P25,IF(AND(C83=1,C14="Construction",C13="Northern"),'Property Tables'!R25,IF(AND(C83=5,C14="No. 1",C13="D Fir-L"),'Property Tables'!D37,IF(AND(C83=5,C14="No. 1",C13="Hem-Fir"),'Property Tables'!F37,IF(AND(C83=5,C14="No. 1",C13="Spruce-Pine-Fir"),'Property Tables'!H37,IF(AND(C83=5,C14="No. 1",C13="Northern"),'Property Tables'!J37,IF(AND(C83=5,C14="No. 2",C13="D Fir-L"),'Property Tables'!D38,IF(AND(C83=5,C14="No. 2",C13="Hem-Fir"),'Property Tables'!F38,IF(AND(C83=5,C14="No. 2",C13="Spruce-Pine-Fir"),'Property Tables'!H38,IF(AND(C83=5,C14="No. 2",C13="Northern"),'Property Tables'!J38,IF(AND(C83=5,C14="Select Structural",C13="D Fir-L"),'Property Tables'!D36,IF(AND(C83=5,C14="Select Structural",C13="Hem-Fir"),'Property Tables'!F36,IF(AND(C83=5,C14="Select Structural",C13="Spruce-Pine-Fir"),'Property Tables'!H36,IF(AND(C83=5,C14="Select Structural",C13="Northern"),'Property Tables'!J36,IF(AND(C83=6,C14="No. 1",C13="D Fir-L"),'Property Tables'!L37,IF(AND(C83=6,C14="No. 1",C13="Hem-Fir"),'Property Tables'!N37,IF(AND(C83=6,C14="No. 1",C13="Spruce-Pine-Fir"),'Property Tables'!P37,IF(AND(C83=6,C14="No. 1",C13="Northern"),'Property Tables'!R37,IF(AND(C83=6,C14="No. 2",C13="D Fir-L"),'Property Tables'!L38,IF(AND(C83=6,C14="No. 2",C13="Hem-Fir"),'Property Tables'!N38,IF(AND(C83=6,C14="No. 2",C13="Spruce-Pine-Fir"),'Property Tables'!P38,IF(AND(C83=6,C14="No. 2",C13="Northern"),'Property Tables'!R38,IF(AND(C83=6,C14="Select Structural",C13="D Fir-L"),'Property Tables'!L36,IF(AND(C83=6,C14="Select Structural",C13="Hem-Fir"),'Property Tables'!N36,IF(AND(C83=6,C14="Select Structural",C13="Spruce-Pine-Fir"),'Property Tables'!P36,IF(AND(C83=6,C14="Select Structural",C13="Northern"),'Property Tables'!R36))))))))))))))))))))))))))))))))))))))))))))</f>
        <v>14</v>
      </c>
      <c r="J79" s="36" t="s">
        <v>143</v>
      </c>
      <c r="K79" s="31"/>
      <c r="L79" s="31"/>
      <c r="M79" s="31"/>
      <c r="N79" s="31"/>
      <c r="O79" s="31"/>
      <c r="P79" s="31"/>
      <c r="Q79" s="31"/>
      <c r="R79" s="31"/>
      <c r="S79" s="30"/>
    </row>
    <row r="80" spans="1:19" ht="17.25" x14ac:dyDescent="0.35">
      <c r="B80" s="111" t="s">
        <v>96</v>
      </c>
      <c r="C80" s="40">
        <f>MIN(C26:D27)</f>
        <v>38</v>
      </c>
      <c r="D80" s="31"/>
      <c r="E80" s="31" t="s">
        <v>101</v>
      </c>
      <c r="F80" s="31">
        <v>1</v>
      </c>
      <c r="H80" s="45" t="s">
        <v>39</v>
      </c>
      <c r="I80" s="31">
        <f>IF(C15="No Mutual Support",1, IF(C15="3  Mutual Supporting members &lt; 610 mm apart",1.1))</f>
        <v>1</v>
      </c>
      <c r="J80" s="46"/>
      <c r="K80" s="31"/>
      <c r="L80" s="31"/>
      <c r="M80" s="31"/>
      <c r="N80" s="31"/>
      <c r="O80" s="31"/>
      <c r="P80" s="31"/>
      <c r="Q80" s="31"/>
      <c r="R80" s="31"/>
      <c r="S80" s="30"/>
    </row>
    <row r="81" spans="2:19" ht="17.25" x14ac:dyDescent="0.35">
      <c r="B81" s="111" t="s">
        <v>97</v>
      </c>
      <c r="C81" s="40">
        <f>MAX(C26:D27)</f>
        <v>89</v>
      </c>
      <c r="D81" s="31"/>
      <c r="E81" s="31" t="s">
        <v>17</v>
      </c>
      <c r="F81" s="31">
        <v>2</v>
      </c>
      <c r="H81" s="45" t="s">
        <v>40</v>
      </c>
      <c r="I81" s="31">
        <f>IF(C16="Dry",1,IF(AND(C16="Wet",C80&lt;=89),0.69,IF(AND(C16="Wet",C80&gt;89),0.91)))</f>
        <v>1</v>
      </c>
      <c r="J81" s="46"/>
      <c r="K81" s="31"/>
      <c r="L81" s="31"/>
      <c r="M81" s="31"/>
      <c r="N81" s="31"/>
      <c r="O81" s="31"/>
      <c r="P81" s="31"/>
      <c r="Q81" s="31"/>
      <c r="R81" s="31"/>
      <c r="S81" s="30"/>
    </row>
    <row r="82" spans="2:19" ht="17.25" x14ac:dyDescent="0.35">
      <c r="B82" s="111" t="s">
        <v>123</v>
      </c>
      <c r="C82" s="40">
        <f>C81-C80</f>
        <v>51</v>
      </c>
      <c r="D82" s="31"/>
      <c r="E82" s="31" t="s">
        <v>102</v>
      </c>
      <c r="F82" s="31">
        <v>3</v>
      </c>
      <c r="H82" s="45" t="s">
        <v>41</v>
      </c>
      <c r="I82" s="31">
        <f>IF(C17="None",1,IF(C17="Other (incl. Fire Retardant)","NEEDS TESTING",IF(C17="Treatment Unincised",1,IF(AND(C16="Dry",C17="Treatment Incised",C80&lt;=89),0.9,IF(AND(C16="Wet",C17="Treatment Incised",C80&lt;=89),0.95,1)))))</f>
        <v>1</v>
      </c>
      <c r="J82" s="46"/>
      <c r="K82" s="31"/>
      <c r="L82" s="31"/>
      <c r="M82" s="31"/>
      <c r="N82" s="31"/>
      <c r="O82" s="31"/>
      <c r="P82" s="31"/>
      <c r="Q82" s="31"/>
      <c r="R82" s="31"/>
      <c r="S82" s="30"/>
    </row>
    <row r="83" spans="2:19" ht="17.25" x14ac:dyDescent="0.35">
      <c r="B83" s="111" t="s">
        <v>107</v>
      </c>
      <c r="C83" s="40">
        <f>IF(AND(C80&gt;=38,C80&lt;=89,C81&gt;=38,C81&lt;=89,(OR(C14="Construction",C14="Standard"))),1,IF(AND(C80&gt;=38,C80&lt;=89,C14="Stud"),2,IF(AND(C80&gt;=38,C80&lt;=89,C81&gt;=38,C81&lt;=89,(OR(C14="Select Structural",C14="No. 1",C14="No. 2",C14="No. 3"))),3,IF(AND(C80&gt;=38,C80&lt;=89,C81&gt;=114,(OR(C14="Select Structural",C14="No. 1",C14="No. 2",C14="No. 3"))),4,IF(AND(C80&gt;=114,C82&gt;51,(OR(C14="Select Structural",C14="No. 1",C14="No. 2"))),5,IF(AND(C80&gt;=114,C82&lt;=51,(OR(C14="Select Structural",C14="No. 1",C14="No. 2"))),6,IF(AND(C80&gt;=38,C80&lt;=89,C81&gt;=140,(OR(C14="Select Structural",C14="No. 1",C14="No. 2",C14="Select",C14="Commercial"))),7,8)))))))</f>
        <v>3</v>
      </c>
      <c r="D83" s="31"/>
      <c r="E83" s="31" t="s">
        <v>103</v>
      </c>
      <c r="F83" s="31">
        <v>4</v>
      </c>
      <c r="H83" s="45" t="s">
        <v>110</v>
      </c>
      <c r="I83" s="31">
        <f>IF(AND((OR(C83=4,C83=3,C83=2,C83=7)),(OR(C14="No. 1",C14="No. 2",C14="Commercial")),C13="D Fir-L"),'Property Tables'!E21,IF(AND((OR(C83=4,C83=3,C83=2,C83=7)),(OR(C14="No. 1",C14="No. 2",C14="Commercial")),C13="Hem-Fir"),'Property Tables'!G21,IF(AND((OR(C83=4,C83=3,C83=2,C83=7)),(OR(C14="No. 1",C14="No. 2",C14="Commercial")),C13="Spruce-Pine-Fir"),'Property Tables'!I21,IF(AND((OR(C83=4,C83=3,C83=2,C83=7)),(OR(C14="No. 1",C14="No. 2",C14="Commercial")),C13="Northern"),'Property Tables'!K21,IF(AND((OR(C83=4,C83=3,C83=2)),(OR(C14="No. 3",C14="Stud")),C13="D Fir-L"),'Property Tables'!E24,IF(AND((OR(C83=4,C83=3,C83=2)),(OR(C14="No. 3",C14="Stud")),C13="Hem-Fir"),'Property Tables'!G24,IF(AND((OR(C83=4,C83=3,C83=2)),(OR(C14="No. 3",C14="Stud")),C13="Spruce-Pine-Fir"),'Property Tables'!I24,IF(AND((OR(C83=4,C83=3,C83=2)),(OR(C14="No. 3",C14="Stud")),C13="Northern"),'Property Tables'!K24,IF(AND((OR(C83=4,C83=3,C83=2,C83=7)),(OR(C14="Select Structural",C14="Select")),C13="D Fir-L"),'Property Tables'!E20,IF(AND((OR(C83=4,C83=3,C83=2,C83=7)),(OR(C14="Select Structural")),C14="Select",C13="Hem-Fir"),'Property Tables'!G20,IF(AND((OR(C83=4,C83=3,C83=2,C83=7)),(OR(C14="Select Structural",C14="Select")),C13="Spruce-Pine-Fir"),'Property Tables'!I20,IF(AND((OR(C83=4,C83=3,C83=2,C83=7)),(OR(C14="Select Structural",C14="Select")),C13="Northern"),'Property Tables'!K20,IF(AND(C83=1,C14="Standard",C13="D Fir-L"),'Property Tables'!M26,IF(AND(C83=1,C14="Standard",C13="Hem-Fir"),'Property Tables'!O26,IF(AND(C83=1,C14="Standard",C13="Spruce-Pine-Fir"),'Property Tables'!Q26,IF(AND(C83=1,C14="Standard",C13="Northern"),'Property Tables'!S26,IF(AND(C83=1,C14="Construction",C13="D Fir-L"),'Property Tables'!M25,IF(AND(C83=1,C14="Construction",C13="Hem-Fir"),'Property Tables'!O25,IF(AND(C83=1,C14="Construction",C13="Spruce-Pine-Fir"),'Property Tables'!Q25,IF(AND(C83=1,C14="Construction",C13="Northern"),'Property Tables'!S25,IF(AND(C83=5,C14="No. 1",C13="D Fir-L"),'Property Tables'!E37,IF(AND(C83=5,C14="No. 1",C13="Hem-Fir"),'Property Tables'!G37,IF(AND(C83=5,C14="No. 1",C13="Spruce-Pine-Fir"),'Property Tables'!I37,IF(AND(C83=5,C14="No. 1",C13="Northern"),'Property Tables'!K37,IF(AND(C83=5,C14="No. 2",C13="D Fir-L"),'Property Tables'!E38,IF(AND(C83=5,C14="No. 2",C13="Hem-Fir"),'Property Tables'!G38,IF(AND(C83=5,C14="No. 2",C13="Spruce-Pine-Fir"),'Property Tables'!I38,IF(AND(C83=5,C14="No. 2",C13="Northern"),'Property Tables'!K38,IF(AND(C83=5,C14="Select Structural",C13="D Fir-L"),'Property Tables'!E36,IF(AND(C83=5,C14="Select Structural",C13="Hem-Fir"),'Property Tables'!G36,IF(AND(C83=5,C14="Select Structural",C13="Spruce-Pine-Fir"),'Property Tables'!I36,IF(AND(C83=5,C14="Select Structural",C13="Northern"),'Property Tables'!K36,IF(AND(C83=6,C14="No. 1",C13="D Fir-L"),'Property Tables'!M37,IF(AND(C83=6,C14="No. 1",C13="Hem-Fir"),'Property Tables'!O37,IF(AND(C83=6,C14="No. 1",C13="Spruce-Pine-Fir"),'Property Tables'!Q37,IF(AND(C83=6,C14="No. 1",C13="Northern"),'Property Tables'!S37,IF(AND(C83=6,C14="No. 2",C13="D Fir-L"),'Property Tables'!M38,IF(AND(C83=6,C14="No. 2",C13="Hem-Fir"),'Property Tables'!O38,IF(AND(C83=6,C14="No. 2",C13="Spruce-Pine-Fir"),'Property Tables'!Q38,IF(AND(C83=6,C14="No. 2",C13="Northern"),'Property Tables'!S38,IF(AND(C83=6,C14="Select Structural",C13="D Fir-L"),'Property Tables'!M36,IF(AND(C83=6,C14="Select Structural",C13="Hem-Fir"),'Property Tables'!O36,IF(AND(C83=6,C14="Select Structural",C13="Spruce-Pine-Fir"),'Property Tables'!Q36,IF(AND(C83=6,C14="Select Structural",C13="Northern"),'Property Tables'!S36))))))))))))))))))))))))))))))))))))))))))))</f>
        <v>7000</v>
      </c>
      <c r="J83" s="46" t="s">
        <v>144</v>
      </c>
      <c r="K83" s="31"/>
      <c r="L83" s="31"/>
      <c r="M83" s="31"/>
      <c r="N83" s="31"/>
      <c r="O83" s="31"/>
      <c r="P83" s="31"/>
      <c r="Q83" s="31"/>
      <c r="R83" s="31"/>
      <c r="S83" s="30"/>
    </row>
    <row r="84" spans="2:19" ht="17.25" x14ac:dyDescent="0.35">
      <c r="B84" s="111"/>
      <c r="C84" s="52"/>
      <c r="D84" s="31"/>
      <c r="E84" s="31" t="s">
        <v>104</v>
      </c>
      <c r="F84" s="31">
        <v>5</v>
      </c>
      <c r="H84" s="45" t="s">
        <v>129</v>
      </c>
      <c r="I84" s="57">
        <f>IF(C16="Dry",1,IF(AND(C16="Wet",C80&lt;=89),0.94,IF(AND(C16="Wet",C80&gt;89),1)))</f>
        <v>1</v>
      </c>
      <c r="J84" s="46"/>
      <c r="K84" s="31"/>
      <c r="L84" s="31"/>
      <c r="M84" s="31"/>
      <c r="N84" s="31"/>
      <c r="O84" s="31"/>
      <c r="P84" s="31"/>
      <c r="Q84" s="31"/>
      <c r="R84" s="31"/>
      <c r="S84" s="30"/>
    </row>
    <row r="85" spans="2:19" ht="17.25" x14ac:dyDescent="0.35">
      <c r="B85" s="111"/>
      <c r="C85" s="40"/>
      <c r="D85" s="31"/>
      <c r="E85" s="31" t="s">
        <v>105</v>
      </c>
      <c r="F85" s="31">
        <v>6</v>
      </c>
      <c r="H85" s="58" t="s">
        <v>154</v>
      </c>
      <c r="I85" s="59">
        <v>0.8</v>
      </c>
      <c r="J85" s="60"/>
      <c r="K85" s="31"/>
      <c r="L85" s="31"/>
      <c r="M85" s="31"/>
      <c r="N85" s="31"/>
      <c r="O85" s="31"/>
      <c r="P85" s="31"/>
      <c r="Q85" s="31"/>
      <c r="R85" s="31"/>
      <c r="S85" s="30"/>
    </row>
    <row r="86" spans="2:19" x14ac:dyDescent="0.25">
      <c r="B86" s="30"/>
      <c r="C86" s="31"/>
      <c r="D86" s="31"/>
      <c r="E86" s="31" t="s">
        <v>106</v>
      </c>
      <c r="F86" s="31">
        <v>7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0"/>
    </row>
    <row r="87" spans="2:19" x14ac:dyDescent="0.25">
      <c r="B87" s="30"/>
      <c r="C87" s="31"/>
      <c r="D87" s="31"/>
      <c r="E87" s="31" t="s">
        <v>109</v>
      </c>
      <c r="F87" s="31">
        <v>8</v>
      </c>
      <c r="H87" s="44" t="s">
        <v>131</v>
      </c>
      <c r="I87" s="44" t="s">
        <v>128</v>
      </c>
      <c r="J87" s="31"/>
      <c r="K87" s="31"/>
      <c r="L87" s="31"/>
      <c r="M87" s="31"/>
      <c r="N87" s="31"/>
      <c r="O87" s="31"/>
      <c r="P87" s="31"/>
      <c r="Q87" s="31"/>
      <c r="R87" s="31"/>
      <c r="S87" s="30"/>
    </row>
    <row r="88" spans="2:19" x14ac:dyDescent="0.25">
      <c r="B88" s="30"/>
      <c r="C88" s="31"/>
      <c r="D88" s="31"/>
      <c r="E88" s="31"/>
      <c r="F88" s="31"/>
      <c r="H88" s="44">
        <v>0.65</v>
      </c>
      <c r="I88" s="44">
        <f>0.65*I79*I80*I81*I82</f>
        <v>9.1</v>
      </c>
      <c r="J88" s="31"/>
      <c r="K88" s="31"/>
      <c r="L88" s="31"/>
      <c r="M88" s="31"/>
      <c r="N88" s="31"/>
      <c r="O88" s="31"/>
      <c r="P88" s="31"/>
      <c r="Q88" s="31"/>
      <c r="R88" s="31"/>
      <c r="S88" s="30"/>
    </row>
    <row r="89" spans="2:19" x14ac:dyDescent="0.25">
      <c r="B89" s="30"/>
      <c r="C89" s="31"/>
      <c r="D89" s="31"/>
      <c r="E89" s="31"/>
      <c r="F89" s="31"/>
      <c r="G89" s="31"/>
      <c r="H89" s="48">
        <v>1</v>
      </c>
      <c r="I89" s="48">
        <f>1*I80*I81*I82*I79</f>
        <v>14</v>
      </c>
      <c r="J89" s="31"/>
      <c r="K89" s="31"/>
      <c r="L89" s="31"/>
      <c r="M89" s="31"/>
      <c r="N89" s="31"/>
      <c r="O89" s="31"/>
      <c r="P89" s="31"/>
      <c r="Q89" s="31"/>
      <c r="R89" s="31"/>
      <c r="S89" s="30"/>
    </row>
    <row r="90" spans="2:19" x14ac:dyDescent="0.25">
      <c r="B90" s="30"/>
      <c r="C90" s="31"/>
      <c r="D90" s="31"/>
      <c r="E90" s="31"/>
      <c r="F90" s="31"/>
      <c r="G90" s="31"/>
      <c r="H90" s="54">
        <v>1.1499999999999999</v>
      </c>
      <c r="I90" s="54">
        <f>1.15*I81*I82*I79*I80</f>
        <v>16.099999999999998</v>
      </c>
      <c r="J90" s="31"/>
      <c r="K90" s="31"/>
      <c r="L90" s="31"/>
      <c r="M90" s="31"/>
      <c r="N90" s="31"/>
      <c r="O90" s="31"/>
      <c r="P90" s="31"/>
      <c r="Q90" s="31"/>
      <c r="R90" s="31"/>
      <c r="S90" s="30"/>
    </row>
    <row r="91" spans="2:19" x14ac:dyDescent="0.25">
      <c r="B91" s="30"/>
      <c r="C91" s="31"/>
      <c r="D91" s="31"/>
      <c r="E91" s="31"/>
      <c r="F91" s="31"/>
      <c r="G91" s="31"/>
      <c r="H91" s="63" t="s">
        <v>134</v>
      </c>
      <c r="I91" s="42"/>
      <c r="J91" s="36"/>
      <c r="K91" s="31"/>
      <c r="L91" s="31"/>
      <c r="M91" s="63" t="s">
        <v>135</v>
      </c>
      <c r="N91" s="42"/>
      <c r="O91" s="36"/>
      <c r="P91" s="31"/>
      <c r="Q91" s="31"/>
      <c r="R91" s="31"/>
      <c r="S91" s="30"/>
    </row>
    <row r="92" spans="2:19" x14ac:dyDescent="0.25">
      <c r="B92" s="30"/>
      <c r="C92" s="31" t="s">
        <v>127</v>
      </c>
      <c r="D92" s="31" t="s">
        <v>122</v>
      </c>
      <c r="E92" s="31" t="s">
        <v>130</v>
      </c>
      <c r="F92" s="31" t="s">
        <v>124</v>
      </c>
      <c r="G92" s="31"/>
      <c r="H92" s="63">
        <v>0.65</v>
      </c>
      <c r="I92" s="41" t="s">
        <v>133</v>
      </c>
      <c r="J92" s="36">
        <f>IF((D95&gt;50),"Member too slender",(1+((I88*F95*D95^3)/(35*I83*I84*I82)))^-1)</f>
        <v>0.53192337945780666</v>
      </c>
      <c r="K92" s="31"/>
      <c r="L92" s="31"/>
      <c r="M92" s="44">
        <v>0.65</v>
      </c>
      <c r="N92" s="41" t="s">
        <v>133</v>
      </c>
      <c r="O92" s="44" t="e">
        <f>IF((D101&gt;50),"Member too slender",(1+((I88*F101*D101^3)/(35*I83*I84*I82)))^-1)</f>
        <v>#DIV/0!</v>
      </c>
      <c r="P92" s="31"/>
      <c r="Q92" s="31"/>
      <c r="R92" s="31"/>
      <c r="S92" s="30"/>
    </row>
    <row r="93" spans="2:19" ht="17.25" x14ac:dyDescent="0.35">
      <c r="B93" s="50"/>
      <c r="C93" s="31"/>
      <c r="D93" s="31"/>
      <c r="E93" s="31"/>
      <c r="F93" s="31"/>
      <c r="G93" s="31"/>
      <c r="H93" s="57">
        <v>0.65</v>
      </c>
      <c r="I93" s="45" t="s">
        <v>132</v>
      </c>
      <c r="J93" s="46">
        <f>IF((D97&gt;50),"Member too slender",(1+((I88*F97*D97^3)/(35*I83*I84*I82)))^-1)</f>
        <v>0.93589722922411178</v>
      </c>
      <c r="K93" s="31"/>
      <c r="L93" s="31"/>
      <c r="M93" s="48">
        <v>0.65</v>
      </c>
      <c r="N93" s="45" t="s">
        <v>132</v>
      </c>
      <c r="O93" s="48" t="e">
        <f>IF((D103&gt;50),"Member too slender",(1+((I88*F103*D103^3)/(35*I83*I84*I82)))^-1)</f>
        <v>#DIV/0!</v>
      </c>
      <c r="P93" s="31"/>
      <c r="Q93" s="31"/>
      <c r="R93" s="31"/>
      <c r="S93" s="30"/>
    </row>
    <row r="94" spans="2:19" x14ac:dyDescent="0.25">
      <c r="B94" s="69"/>
      <c r="C94" s="61"/>
      <c r="D94" s="31"/>
      <c r="E94" s="31"/>
      <c r="F94" s="31"/>
      <c r="G94" s="31"/>
      <c r="H94" s="70">
        <v>1</v>
      </c>
      <c r="I94" s="45" t="s">
        <v>133</v>
      </c>
      <c r="J94" s="46">
        <f>IF((D95&gt;50),"Member too slender",(1+((I89*F95*(D95^3))/(35*I83*I82*I84)))^-1)</f>
        <v>0.42484492934441181</v>
      </c>
      <c r="K94" s="31"/>
      <c r="L94" s="31"/>
      <c r="M94" s="71">
        <v>1</v>
      </c>
      <c r="N94" s="45" t="s">
        <v>133</v>
      </c>
      <c r="O94" s="48" t="e">
        <f>IF((D101&gt;50),"Member too slender",(1+((I89*F101*(D101^3))/(35*I83*I82*I84)))^-1)</f>
        <v>#DIV/0!</v>
      </c>
      <c r="P94" s="31"/>
      <c r="Q94" s="31"/>
      <c r="R94" s="31"/>
      <c r="S94" s="30"/>
    </row>
    <row r="95" spans="2:19" x14ac:dyDescent="0.25">
      <c r="B95" s="69" t="s">
        <v>111</v>
      </c>
      <c r="C95" s="31">
        <f>IF(D28="Pin-Pin",1,IF(D28="Fix-Fix",0.65,IF(D28="Fix-Pin",0.8,IF(D28="Fix-Free",2))))</f>
        <v>1</v>
      </c>
      <c r="D95" s="31">
        <f>(C28*C95*1000)/C26</f>
        <v>26.315789473684209</v>
      </c>
      <c r="E95" s="31">
        <f>6.3*(C26*1000*C28)^-0.13</f>
        <v>1.59944268447666</v>
      </c>
      <c r="F95" s="31">
        <f>IF(E95&gt;=1.3,1.3,E95)</f>
        <v>1.3</v>
      </c>
      <c r="G95" s="31"/>
      <c r="H95" s="57">
        <v>1</v>
      </c>
      <c r="I95" s="45" t="s">
        <v>132</v>
      </c>
      <c r="J95" s="46">
        <f>IF((D97&gt;50),"Member too slender",(1+((I89*F97*D97^3)/(35*I83*I82*I84)))^-1)</f>
        <v>0.90467081825253182</v>
      </c>
      <c r="K95" s="31"/>
      <c r="L95" s="31"/>
      <c r="M95" s="48">
        <v>1</v>
      </c>
      <c r="N95" s="45" t="s">
        <v>132</v>
      </c>
      <c r="O95" s="48" t="e">
        <f>IF((D103&gt;50),"Member too slender",(1+((I89*F103*D103^3)/(35*I83*I82*I84)))^-1)</f>
        <v>#DIV/0!</v>
      </c>
      <c r="P95" s="31"/>
      <c r="Q95" s="31"/>
      <c r="R95" s="31"/>
      <c r="S95" s="30"/>
    </row>
    <row r="96" spans="2:19" x14ac:dyDescent="0.25">
      <c r="B96" s="73" t="s">
        <v>157</v>
      </c>
      <c r="C96" s="31"/>
      <c r="D96" s="31"/>
      <c r="E96" s="31"/>
      <c r="F96" s="31"/>
      <c r="G96" s="31"/>
      <c r="H96" s="57">
        <v>1.1499999999999999</v>
      </c>
      <c r="I96" s="45" t="s">
        <v>133</v>
      </c>
      <c r="J96" s="46">
        <f>IF((D95&gt;50),"Member too slender",(1+((I90*F95*D95^3)/(35*I83*I84*I82)))^-1)</f>
        <v>0.39110318255500442</v>
      </c>
      <c r="K96" s="31"/>
      <c r="L96" s="31"/>
      <c r="M96" s="48">
        <v>1.1499999999999999</v>
      </c>
      <c r="N96" s="45" t="s">
        <v>133</v>
      </c>
      <c r="O96" s="48" t="e">
        <f>IF((D101&gt;50),"Member too slender",(1+((I90*F101*D101^3)/(35*I83*I84*I82)))^-1)</f>
        <v>#DIV/0!</v>
      </c>
      <c r="P96" s="31"/>
      <c r="Q96" s="31"/>
      <c r="R96" s="31"/>
      <c r="S96" s="30"/>
    </row>
    <row r="97" spans="2:19" x14ac:dyDescent="0.25">
      <c r="B97" s="69" t="s">
        <v>111</v>
      </c>
      <c r="C97" s="31">
        <f>IF(D30="Pin-Pin",1,IF(D30="Fix-Fix",0.65,IF(D30="Fix-Pin",0.8,IF(D30="Fix-Free",2))))</f>
        <v>1</v>
      </c>
      <c r="D97" s="31">
        <f>(C30*1000*C97)/C27</f>
        <v>11.235955056179776</v>
      </c>
      <c r="E97" s="31">
        <f>6.3*(C27*1000*C30)^-0.13</f>
        <v>1.4319236055913047</v>
      </c>
      <c r="F97" s="31">
        <f>IF(E97&gt;=1.3,1.3,E97)</f>
        <v>1.3</v>
      </c>
      <c r="G97" s="31"/>
      <c r="H97" s="59">
        <v>1.1499999999999999</v>
      </c>
      <c r="I97" s="75" t="s">
        <v>132</v>
      </c>
      <c r="J97" s="60">
        <f>IF((D97&gt;50),"Member too slender",(1+((I90*F97*D97^3)/(35*I83*I84*I82)))^-1)</f>
        <v>0.89191696113872521</v>
      </c>
      <c r="K97" s="31"/>
      <c r="L97" s="31"/>
      <c r="M97" s="54">
        <v>1.1499999999999999</v>
      </c>
      <c r="N97" s="75" t="s">
        <v>132</v>
      </c>
      <c r="O97" s="54" t="e">
        <f>IF((D103&gt;50),"Member too slender",(1+((I90*F103*D103^3)/(35*I83*I84*I82)))^-1)</f>
        <v>#DIV/0!</v>
      </c>
      <c r="P97" s="31"/>
      <c r="Q97" s="31"/>
      <c r="R97" s="31"/>
      <c r="S97" s="30"/>
    </row>
    <row r="98" spans="2:19" x14ac:dyDescent="0.25">
      <c r="B98" s="73" t="s">
        <v>158</v>
      </c>
      <c r="C98" s="31"/>
      <c r="D98" s="31"/>
      <c r="E98" s="31"/>
      <c r="F98" s="31"/>
      <c r="G98" s="31"/>
      <c r="H98" s="63">
        <v>0.65</v>
      </c>
      <c r="I98" s="41" t="s">
        <v>137</v>
      </c>
      <c r="J98" s="36">
        <f>0.8*I88*J92*F95*C26*C27/1000</f>
        <v>17.025403523304121</v>
      </c>
      <c r="K98" s="31" t="s">
        <v>138</v>
      </c>
      <c r="L98" s="77">
        <f>MIN(J98:J99)</f>
        <v>17.025403523304121</v>
      </c>
      <c r="M98" s="63">
        <v>0.65</v>
      </c>
      <c r="N98" s="41" t="s">
        <v>137</v>
      </c>
      <c r="O98" s="44" t="e">
        <f>0.8*I88*O92*F101*C26*C27/1000</f>
        <v>#DIV/0!</v>
      </c>
      <c r="P98" s="31" t="s">
        <v>138</v>
      </c>
      <c r="Q98" s="110" t="e">
        <f>MIN(O98:O99)</f>
        <v>#DIV/0!</v>
      </c>
      <c r="R98" s="31"/>
      <c r="S98" s="30"/>
    </row>
    <row r="99" spans="2:19" x14ac:dyDescent="0.25">
      <c r="B99" s="78"/>
      <c r="C99" s="31"/>
      <c r="D99" s="31"/>
      <c r="E99" s="31"/>
      <c r="F99" s="31"/>
      <c r="G99" s="31"/>
      <c r="H99" s="57">
        <v>0.65</v>
      </c>
      <c r="I99" s="45" t="s">
        <v>136</v>
      </c>
      <c r="J99" s="46">
        <f>0.8*I88*J93*F97*C26*C27/1000</f>
        <v>29.955494718288993</v>
      </c>
      <c r="K99" s="31"/>
      <c r="L99" s="77"/>
      <c r="M99" s="57">
        <v>0.65</v>
      </c>
      <c r="N99" s="45" t="s">
        <v>136</v>
      </c>
      <c r="O99" s="48" t="e">
        <f>0.8*I88*O93*F103*C27*C26/1000</f>
        <v>#DIV/0!</v>
      </c>
      <c r="P99" s="31"/>
      <c r="Q99" s="110"/>
      <c r="R99" s="31"/>
      <c r="S99" s="30"/>
    </row>
    <row r="100" spans="2:19" x14ac:dyDescent="0.25">
      <c r="B100" s="78"/>
      <c r="C100" s="31"/>
      <c r="D100" s="31"/>
      <c r="E100" s="31"/>
      <c r="F100" s="31"/>
      <c r="G100" s="31"/>
      <c r="H100" s="70">
        <v>1</v>
      </c>
      <c r="I100" s="45" t="s">
        <v>137</v>
      </c>
      <c r="J100" s="46">
        <f>0.8*I89*J94*F95*C26*C27/1000</f>
        <v>20.920180023183182</v>
      </c>
      <c r="K100" s="31" t="s">
        <v>139</v>
      </c>
      <c r="L100" s="77">
        <f>MIN(J100:J101)</f>
        <v>20.920180023183182</v>
      </c>
      <c r="M100" s="70">
        <v>1</v>
      </c>
      <c r="N100" s="45" t="s">
        <v>137</v>
      </c>
      <c r="O100" s="48" t="e">
        <f>0.8*I89*O94*F101*C26*C27/1000</f>
        <v>#DIV/0!</v>
      </c>
      <c r="P100" s="31" t="s">
        <v>139</v>
      </c>
      <c r="Q100" s="110" t="e">
        <f>MIN(O100:O101)</f>
        <v>#DIV/0!</v>
      </c>
      <c r="R100" s="31"/>
      <c r="S100" s="30"/>
    </row>
    <row r="101" spans="2:19" x14ac:dyDescent="0.25">
      <c r="B101" s="69" t="s">
        <v>114</v>
      </c>
      <c r="C101" s="31">
        <f>IF(D34="Pin-Pin",1,IF(D34="Fix-Fix",0.65,IF(D34="Fix-Pin",0.8,IF(D34="Fix-Free",2))))</f>
        <v>1</v>
      </c>
      <c r="D101" s="31">
        <f>(C34*1000*C101)/C26</f>
        <v>0</v>
      </c>
      <c r="E101" s="31" t="e">
        <f>6.3*(C26*1000*C34)^-0.13</f>
        <v>#DIV/0!</v>
      </c>
      <c r="F101" s="31" t="e">
        <f>IF(E101&gt;=1.3,1.3,E101)</f>
        <v>#DIV/0!</v>
      </c>
      <c r="G101" s="31"/>
      <c r="H101" s="57">
        <v>1</v>
      </c>
      <c r="I101" s="45" t="s">
        <v>136</v>
      </c>
      <c r="J101" s="46">
        <f>0.8*I89*J95*F97*C26*C27/1000</f>
        <v>44.547728058725717</v>
      </c>
      <c r="K101" s="31"/>
      <c r="L101" s="77"/>
      <c r="M101" s="57">
        <v>1</v>
      </c>
      <c r="N101" s="45" t="s">
        <v>136</v>
      </c>
      <c r="O101" s="48" t="e">
        <f>0.8*I89*O95*F103*C26*C27/1000</f>
        <v>#DIV/0!</v>
      </c>
      <c r="P101" s="31"/>
      <c r="Q101" s="110"/>
      <c r="R101" s="31"/>
      <c r="S101" s="30"/>
    </row>
    <row r="102" spans="2:19" x14ac:dyDescent="0.25">
      <c r="B102" s="81" t="s">
        <v>116</v>
      </c>
      <c r="C102" s="31"/>
      <c r="D102" s="31"/>
      <c r="E102" s="31"/>
      <c r="F102" s="31"/>
      <c r="G102" s="31"/>
      <c r="H102" s="57">
        <v>1.1499999999999999</v>
      </c>
      <c r="I102" s="45" t="s">
        <v>137</v>
      </c>
      <c r="J102" s="46">
        <f>0.8*I90*J96*F95*C26*C27/1000</f>
        <v>22.147472371186762</v>
      </c>
      <c r="K102" s="31" t="s">
        <v>140</v>
      </c>
      <c r="L102" s="77">
        <f>MIN(J102:J103)</f>
        <v>22.147472371186762</v>
      </c>
      <c r="M102" s="57">
        <v>1.1499999999999999</v>
      </c>
      <c r="N102" s="45" t="s">
        <v>137</v>
      </c>
      <c r="O102" s="48" t="e">
        <f>0.8*I90*O96*F101*C26*C27/1000</f>
        <v>#DIV/0!</v>
      </c>
      <c r="P102" s="31" t="s">
        <v>140</v>
      </c>
      <c r="Q102" s="110" t="e">
        <f>MIN(O102:O103)</f>
        <v>#DIV/0!</v>
      </c>
      <c r="R102" s="31"/>
      <c r="S102" s="30"/>
    </row>
    <row r="103" spans="2:19" x14ac:dyDescent="0.25">
      <c r="B103" s="69" t="s">
        <v>114</v>
      </c>
      <c r="C103" s="31">
        <f>IF(D36="Pin-Pin",1,IF(D36="Fix-Fix",0.65,IF(D36="Fix-Pin",0.8,IF(D36="Fix-Free",2))))</f>
        <v>1</v>
      </c>
      <c r="D103" s="31">
        <f>C36*1000*C103/C27</f>
        <v>0</v>
      </c>
      <c r="E103" s="31" t="e">
        <f>6.3*(C27*1000*C36)^-0.13</f>
        <v>#DIV/0!</v>
      </c>
      <c r="F103" s="31" t="e">
        <f>IF(E103&gt;=1.3,1.3,E103)</f>
        <v>#DIV/0!</v>
      </c>
      <c r="G103" s="31"/>
      <c r="H103" s="65">
        <v>1.1499999999999999</v>
      </c>
      <c r="I103" s="75" t="s">
        <v>136</v>
      </c>
      <c r="J103" s="60">
        <f>0.8*I90*J97*F97*C26*C27/1000</f>
        <v>50.507659194091644</v>
      </c>
      <c r="K103" s="31"/>
      <c r="L103" s="31"/>
      <c r="M103" s="59">
        <v>1.1499999999999999</v>
      </c>
      <c r="N103" s="75" t="s">
        <v>136</v>
      </c>
      <c r="O103" s="54" t="e">
        <f>0.8*I90*O97*F103*C26*C27/1000</f>
        <v>#DIV/0!</v>
      </c>
      <c r="P103" s="31"/>
      <c r="Q103" s="31"/>
      <c r="R103" s="31"/>
      <c r="S103" s="30"/>
    </row>
    <row r="104" spans="2:19" x14ac:dyDescent="0.25">
      <c r="B104" s="81" t="s">
        <v>115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0"/>
    </row>
    <row r="105" spans="2:19" ht="15.75" thickBot="1" x14ac:dyDescent="0.3">
      <c r="B105" s="86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30"/>
    </row>
    <row r="106" spans="2:19" ht="15.75" thickTop="1" x14ac:dyDescent="0.25"/>
    <row r="110" spans="2:19" x14ac:dyDescent="0.25">
      <c r="B110" s="26" t="s">
        <v>160</v>
      </c>
    </row>
    <row r="111" spans="2:19" x14ac:dyDescent="0.25">
      <c r="B111" s="26" t="s">
        <v>155</v>
      </c>
    </row>
    <row r="112" spans="2:19" x14ac:dyDescent="0.25">
      <c r="B112" s="26" t="s">
        <v>156</v>
      </c>
    </row>
  </sheetData>
  <pageMargins left="0.7" right="0.7" top="0.75" bottom="0.75" header="0.3" footer="0.3"/>
  <pageSetup scale="20" orientation="landscape" horizontalDpi="4294967293" r:id="rId1"/>
  <rowBreaks count="1" manualBreakCount="1">
    <brk id="48" max="48" man="1"/>
  </rowBreaks>
  <colBreaks count="1" manualBreakCount="1">
    <brk id="13" max="123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Dry">
          <x14:formula1>
            <xm:f>'Property Tables'!$A$5:$A$6</xm:f>
          </x14:formula1>
          <xm:sqref>C16</xm:sqref>
        </x14:dataValidation>
        <x14:dataValidation type="list" allowBlank="1" showInputMessage="1" showErrorMessage="1" promptTitle="None">
          <x14:formula1>
            <xm:f>'Property Tables'!$A$13:$A$16</xm:f>
          </x14:formula1>
          <xm:sqref>C17</xm:sqref>
        </x14:dataValidation>
        <x14:dataValidation type="list" showInputMessage="1" showErrorMessage="1">
          <x14:formula1>
            <xm:f>'Property Tables'!$A$9:$A$10</xm:f>
          </x14:formula1>
          <xm:sqref>C15</xm:sqref>
        </x14:dataValidation>
        <x14:dataValidation type="list" showInputMessage="1" showErrorMessage="1">
          <x14:formula1>
            <xm:f>'Property Tables'!$A$20:$A$28</xm:f>
          </x14:formula1>
          <xm:sqref>C14</xm:sqref>
        </x14:dataValidation>
        <x14:dataValidation type="list" allowBlank="1" showInputMessage="1" showErrorMessage="1">
          <x14:formula1>
            <xm:f>'Property Tables'!$G$5:$G$8</xm:f>
          </x14:formula1>
          <xm:sqref>C13</xm:sqref>
        </x14:dataValidation>
        <x14:dataValidation type="list" allowBlank="1" showErrorMessage="1">
          <x14:formula1>
            <xm:f>'Property Tables'!$K$4:$K$7</xm:f>
          </x14:formula1>
          <xm:sqref>D28 D30 D34 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4" zoomScale="90" zoomScaleNormal="90" workbookViewId="0">
      <selection activeCell="K5" sqref="K5"/>
    </sheetView>
  </sheetViews>
  <sheetFormatPr defaultRowHeight="15" x14ac:dyDescent="0.25"/>
  <sheetData>
    <row r="1" spans="1:12" ht="14.45" x14ac:dyDescent="0.3">
      <c r="A1" t="s">
        <v>15</v>
      </c>
    </row>
    <row r="4" spans="1:12" x14ac:dyDescent="0.25">
      <c r="A4" s="1" t="s">
        <v>5</v>
      </c>
      <c r="B4" s="1"/>
      <c r="G4" s="1" t="s">
        <v>0</v>
      </c>
      <c r="K4" t="s">
        <v>120</v>
      </c>
      <c r="L4">
        <v>1</v>
      </c>
    </row>
    <row r="5" spans="1:12" x14ac:dyDescent="0.25">
      <c r="A5" t="s">
        <v>6</v>
      </c>
      <c r="G5" t="s">
        <v>26</v>
      </c>
      <c r="K5" t="s">
        <v>119</v>
      </c>
      <c r="L5">
        <v>0.8</v>
      </c>
    </row>
    <row r="6" spans="1:12" x14ac:dyDescent="0.25">
      <c r="A6" t="s">
        <v>7</v>
      </c>
      <c r="G6" t="s">
        <v>27</v>
      </c>
      <c r="K6" t="s">
        <v>118</v>
      </c>
      <c r="L6">
        <v>0.65</v>
      </c>
    </row>
    <row r="7" spans="1:12" x14ac:dyDescent="0.25">
      <c r="G7" t="s">
        <v>36</v>
      </c>
      <c r="K7" t="s">
        <v>121</v>
      </c>
      <c r="L7">
        <v>2</v>
      </c>
    </row>
    <row r="8" spans="1:12" x14ac:dyDescent="0.25">
      <c r="A8" s="1" t="s">
        <v>2</v>
      </c>
      <c r="B8" s="1"/>
      <c r="G8" t="s">
        <v>29</v>
      </c>
    </row>
    <row r="9" spans="1:12" x14ac:dyDescent="0.25">
      <c r="A9" t="s">
        <v>9</v>
      </c>
    </row>
    <row r="10" spans="1:12" ht="14.45" x14ac:dyDescent="0.3">
      <c r="A10" t="s">
        <v>16</v>
      </c>
    </row>
    <row r="12" spans="1:12" ht="14.45" x14ac:dyDescent="0.3">
      <c r="A12" s="1" t="s">
        <v>10</v>
      </c>
      <c r="B12" s="1"/>
    </row>
    <row r="13" spans="1:12" ht="14.45" x14ac:dyDescent="0.3">
      <c r="A13" t="s">
        <v>11</v>
      </c>
    </row>
    <row r="14" spans="1:12" ht="14.45" x14ac:dyDescent="0.3">
      <c r="A14" t="s">
        <v>12</v>
      </c>
    </row>
    <row r="15" spans="1:12" ht="14.45" x14ac:dyDescent="0.3">
      <c r="A15" t="s">
        <v>13</v>
      </c>
    </row>
    <row r="16" spans="1:12" ht="14.45" x14ac:dyDescent="0.3">
      <c r="A16" t="s">
        <v>14</v>
      </c>
    </row>
    <row r="17" spans="1:21" ht="14.45" x14ac:dyDescent="0.3">
      <c r="D17" s="22" t="s">
        <v>32</v>
      </c>
      <c r="E17" s="23"/>
      <c r="F17" s="23"/>
      <c r="G17" s="23"/>
      <c r="H17" s="23"/>
      <c r="I17" s="23"/>
      <c r="J17" s="23"/>
      <c r="K17" s="21"/>
      <c r="L17" s="22" t="s">
        <v>33</v>
      </c>
      <c r="M17" s="23"/>
      <c r="N17" s="23"/>
      <c r="O17" s="23"/>
      <c r="P17" s="23"/>
      <c r="Q17" s="23"/>
      <c r="R17" s="23"/>
      <c r="S17" s="21"/>
    </row>
    <row r="18" spans="1:21" ht="14.45" x14ac:dyDescent="0.3">
      <c r="D18" s="4" t="s">
        <v>26</v>
      </c>
      <c r="E18" s="13"/>
      <c r="F18" s="13" t="s">
        <v>27</v>
      </c>
      <c r="G18" s="13"/>
      <c r="H18" s="13" t="s">
        <v>28</v>
      </c>
      <c r="I18" s="13"/>
      <c r="J18" s="13" t="s">
        <v>29</v>
      </c>
      <c r="K18" s="14"/>
      <c r="L18" s="4" t="s">
        <v>26</v>
      </c>
      <c r="M18" s="13"/>
      <c r="N18" s="13" t="s">
        <v>27</v>
      </c>
      <c r="O18" s="13"/>
      <c r="P18" s="13" t="s">
        <v>28</v>
      </c>
      <c r="Q18" s="13"/>
      <c r="R18" s="13" t="s">
        <v>29</v>
      </c>
      <c r="S18" s="14"/>
      <c r="U18" s="13"/>
    </row>
    <row r="19" spans="1:21" ht="14.45" x14ac:dyDescent="0.3">
      <c r="A19" s="1" t="s">
        <v>1</v>
      </c>
      <c r="D19" s="4" t="s">
        <v>30</v>
      </c>
      <c r="E19" s="13" t="s">
        <v>31</v>
      </c>
      <c r="F19" s="13" t="s">
        <v>30</v>
      </c>
      <c r="G19" s="13" t="s">
        <v>31</v>
      </c>
      <c r="H19" s="13" t="s">
        <v>30</v>
      </c>
      <c r="I19" s="13" t="s">
        <v>31</v>
      </c>
      <c r="J19" s="13" t="s">
        <v>30</v>
      </c>
      <c r="K19" s="14" t="s">
        <v>31</v>
      </c>
      <c r="L19" s="4" t="s">
        <v>30</v>
      </c>
      <c r="M19" s="13" t="s">
        <v>31</v>
      </c>
      <c r="N19" s="13" t="s">
        <v>30</v>
      </c>
      <c r="O19" s="13" t="s">
        <v>31</v>
      </c>
      <c r="P19" s="13" t="s">
        <v>30</v>
      </c>
      <c r="Q19" s="13" t="s">
        <v>31</v>
      </c>
      <c r="R19" s="13" t="s">
        <v>30</v>
      </c>
      <c r="S19" s="14" t="s">
        <v>31</v>
      </c>
      <c r="T19" s="2"/>
      <c r="U19" s="13"/>
    </row>
    <row r="20" spans="1:21" ht="14.45" x14ac:dyDescent="0.3">
      <c r="A20" s="3" t="s">
        <v>18</v>
      </c>
      <c r="D20" s="5">
        <v>19</v>
      </c>
      <c r="E20" s="20">
        <v>8500</v>
      </c>
      <c r="F20" s="6">
        <v>17.600000000000001</v>
      </c>
      <c r="G20" s="6">
        <v>8500</v>
      </c>
      <c r="H20" s="6">
        <v>14.5</v>
      </c>
      <c r="I20" s="6">
        <v>7500</v>
      </c>
      <c r="J20" s="6">
        <v>13</v>
      </c>
      <c r="K20" s="8">
        <v>5500</v>
      </c>
      <c r="L20" s="7"/>
      <c r="M20" s="6"/>
      <c r="N20" s="6"/>
      <c r="O20" s="6"/>
      <c r="P20" s="6"/>
      <c r="Q20" s="6"/>
      <c r="R20" s="6"/>
      <c r="S20" s="21"/>
      <c r="U20" s="13"/>
    </row>
    <row r="21" spans="1:21" ht="14.45" x14ac:dyDescent="0.3">
      <c r="A21" s="3" t="s">
        <v>19</v>
      </c>
      <c r="D21" s="9">
        <v>14</v>
      </c>
      <c r="E21" s="2">
        <v>7000</v>
      </c>
      <c r="F21" s="10">
        <v>14.8</v>
      </c>
      <c r="G21" s="10">
        <v>7500</v>
      </c>
      <c r="H21" s="10">
        <v>11.5</v>
      </c>
      <c r="I21" s="10">
        <v>6500</v>
      </c>
      <c r="J21" s="10">
        <v>10.4</v>
      </c>
      <c r="K21" s="12">
        <v>5000</v>
      </c>
      <c r="L21" s="11"/>
      <c r="M21" s="10"/>
      <c r="N21" s="10"/>
      <c r="O21" s="10"/>
      <c r="P21" s="10"/>
      <c r="Q21" s="10"/>
      <c r="R21" s="10"/>
      <c r="S21" s="14"/>
      <c r="U21" s="13"/>
    </row>
    <row r="22" spans="1:21" ht="14.45" x14ac:dyDescent="0.3">
      <c r="A22" s="3" t="s">
        <v>20</v>
      </c>
      <c r="D22" s="9">
        <v>14</v>
      </c>
      <c r="E22" s="2">
        <v>7000</v>
      </c>
      <c r="F22" s="10">
        <v>14.8</v>
      </c>
      <c r="G22" s="10">
        <v>7500</v>
      </c>
      <c r="H22" s="10">
        <v>11.5</v>
      </c>
      <c r="I22" s="10">
        <v>6500</v>
      </c>
      <c r="J22" s="10">
        <v>10.4</v>
      </c>
      <c r="K22" s="12">
        <v>5000</v>
      </c>
      <c r="L22" s="11"/>
      <c r="M22" s="10"/>
      <c r="N22" s="10"/>
      <c r="O22" s="10"/>
      <c r="P22" s="10"/>
      <c r="Q22" s="10"/>
      <c r="R22" s="10"/>
      <c r="S22" s="14"/>
      <c r="U22" s="13"/>
    </row>
    <row r="23" spans="1:21" ht="14.45" x14ac:dyDescent="0.3">
      <c r="A23" s="3" t="s">
        <v>21</v>
      </c>
      <c r="D23" s="9">
        <v>7.3</v>
      </c>
      <c r="E23" s="2">
        <v>5500</v>
      </c>
      <c r="F23" s="10">
        <v>7.3</v>
      </c>
      <c r="G23" s="10">
        <v>6000</v>
      </c>
      <c r="H23" s="10">
        <v>9</v>
      </c>
      <c r="I23" s="10">
        <v>5500</v>
      </c>
      <c r="J23" s="10">
        <v>5.2</v>
      </c>
      <c r="K23" s="12">
        <v>4000</v>
      </c>
      <c r="L23" s="11"/>
      <c r="M23" s="10"/>
      <c r="N23" s="10"/>
      <c r="O23" s="10"/>
      <c r="P23" s="10"/>
      <c r="Q23" s="10"/>
      <c r="R23" s="10"/>
      <c r="S23" s="14"/>
      <c r="U23" s="13"/>
    </row>
    <row r="24" spans="1:21" ht="14.45" x14ac:dyDescent="0.3">
      <c r="A24" s="3" t="s">
        <v>17</v>
      </c>
      <c r="D24" s="9">
        <v>7.3</v>
      </c>
      <c r="E24" s="2">
        <v>5500</v>
      </c>
      <c r="F24" s="10">
        <v>7.3</v>
      </c>
      <c r="G24" s="10">
        <v>6000</v>
      </c>
      <c r="H24" s="10">
        <v>9</v>
      </c>
      <c r="I24" s="10">
        <v>5500</v>
      </c>
      <c r="J24" s="10">
        <v>5.2</v>
      </c>
      <c r="K24" s="12">
        <v>4000</v>
      </c>
      <c r="L24" s="11"/>
      <c r="M24" s="10"/>
      <c r="N24" s="10"/>
      <c r="O24" s="10"/>
      <c r="P24" s="10"/>
      <c r="Q24" s="10"/>
      <c r="R24" s="10"/>
      <c r="S24" s="14"/>
    </row>
    <row r="25" spans="1:21" ht="14.45" x14ac:dyDescent="0.3">
      <c r="A25" s="3" t="s">
        <v>22</v>
      </c>
      <c r="D25" s="9"/>
      <c r="E25" s="2"/>
      <c r="F25" s="10"/>
      <c r="G25" s="10"/>
      <c r="H25" s="10"/>
      <c r="I25" s="10"/>
      <c r="J25" s="10"/>
      <c r="K25" s="12"/>
      <c r="L25" s="11">
        <v>16</v>
      </c>
      <c r="M25" s="10">
        <v>5500</v>
      </c>
      <c r="N25" s="10">
        <v>16.899999999999999</v>
      </c>
      <c r="O25" s="10">
        <v>6000</v>
      </c>
      <c r="P25" s="10">
        <v>13.1</v>
      </c>
      <c r="Q25" s="10">
        <v>5500</v>
      </c>
      <c r="R25" s="10">
        <v>11.9</v>
      </c>
      <c r="S25" s="12">
        <v>4000</v>
      </c>
    </row>
    <row r="26" spans="1:21" ht="14.45" x14ac:dyDescent="0.3">
      <c r="A26" s="3" t="s">
        <v>23</v>
      </c>
      <c r="D26" s="9"/>
      <c r="E26" s="2"/>
      <c r="F26" s="10"/>
      <c r="G26" s="10"/>
      <c r="H26" s="10"/>
      <c r="I26" s="10"/>
      <c r="J26" s="10"/>
      <c r="K26" s="12"/>
      <c r="L26" s="11">
        <v>13.1</v>
      </c>
      <c r="M26" s="10">
        <v>5000</v>
      </c>
      <c r="N26" s="10">
        <v>13.9</v>
      </c>
      <c r="O26" s="10">
        <v>5500</v>
      </c>
      <c r="P26" s="10">
        <v>10.8</v>
      </c>
      <c r="Q26" s="10">
        <v>5000</v>
      </c>
      <c r="R26" s="10">
        <v>9.8000000000000007</v>
      </c>
      <c r="S26" s="12">
        <v>3500</v>
      </c>
    </row>
    <row r="27" spans="1:21" x14ac:dyDescent="0.25">
      <c r="A27" s="3" t="s">
        <v>24</v>
      </c>
      <c r="D27" s="9">
        <v>19</v>
      </c>
      <c r="E27" s="2">
        <v>8500</v>
      </c>
      <c r="F27" s="10">
        <v>17.600000000000001</v>
      </c>
      <c r="G27" s="10">
        <v>8500</v>
      </c>
      <c r="H27" s="10">
        <v>14.5</v>
      </c>
      <c r="I27" s="10">
        <v>7500</v>
      </c>
      <c r="J27" s="10">
        <v>13</v>
      </c>
      <c r="K27" s="12">
        <v>5500</v>
      </c>
      <c r="L27" s="11"/>
      <c r="M27" s="10"/>
      <c r="N27" s="10"/>
      <c r="O27" s="10"/>
      <c r="P27" s="10"/>
      <c r="Q27" s="10"/>
      <c r="R27" s="10"/>
      <c r="S27" s="14"/>
    </row>
    <row r="28" spans="1:21" x14ac:dyDescent="0.25">
      <c r="A28" s="3" t="s">
        <v>25</v>
      </c>
      <c r="D28" s="15">
        <v>14</v>
      </c>
      <c r="E28" s="18">
        <v>7000</v>
      </c>
      <c r="F28" s="16">
        <v>14.8</v>
      </c>
      <c r="G28" s="16">
        <v>7500</v>
      </c>
      <c r="H28" s="16">
        <v>11.5</v>
      </c>
      <c r="I28" s="16">
        <v>6500</v>
      </c>
      <c r="J28" s="16">
        <v>10.4</v>
      </c>
      <c r="K28" s="24">
        <v>5000</v>
      </c>
      <c r="L28" s="17"/>
      <c r="M28" s="16"/>
      <c r="N28" s="16"/>
      <c r="O28" s="16"/>
      <c r="P28" s="16"/>
      <c r="Q28" s="16"/>
      <c r="R28" s="16"/>
      <c r="S28" s="19"/>
    </row>
    <row r="30" spans="1:21" x14ac:dyDescent="0.25">
      <c r="D30" t="s">
        <v>94</v>
      </c>
    </row>
    <row r="33" spans="1:19" x14ac:dyDescent="0.25">
      <c r="D33" s="22" t="s">
        <v>34</v>
      </c>
      <c r="E33" s="23"/>
      <c r="F33" s="23"/>
      <c r="G33" s="23"/>
      <c r="H33" s="23"/>
      <c r="I33" s="23"/>
      <c r="J33" s="23"/>
      <c r="K33" s="21"/>
      <c r="L33" s="22" t="s">
        <v>35</v>
      </c>
      <c r="M33" s="23"/>
      <c r="N33" s="23"/>
      <c r="O33" s="23"/>
      <c r="P33" s="23"/>
      <c r="Q33" s="23"/>
      <c r="R33" s="23"/>
      <c r="S33" s="21"/>
    </row>
    <row r="34" spans="1:19" x14ac:dyDescent="0.25">
      <c r="D34" s="4" t="s">
        <v>26</v>
      </c>
      <c r="E34" s="13"/>
      <c r="F34" s="13" t="s">
        <v>27</v>
      </c>
      <c r="G34" s="13"/>
      <c r="H34" s="13" t="s">
        <v>28</v>
      </c>
      <c r="I34" s="13"/>
      <c r="J34" s="13" t="s">
        <v>29</v>
      </c>
      <c r="K34" s="14"/>
      <c r="L34" s="4" t="s">
        <v>26</v>
      </c>
      <c r="M34" s="13"/>
      <c r="N34" s="13" t="s">
        <v>27</v>
      </c>
      <c r="O34" s="13"/>
      <c r="P34" s="13" t="s">
        <v>28</v>
      </c>
      <c r="Q34" s="13"/>
      <c r="R34" s="13" t="s">
        <v>29</v>
      </c>
      <c r="S34" s="14"/>
    </row>
    <row r="35" spans="1:19" x14ac:dyDescent="0.25">
      <c r="A35" s="1" t="s">
        <v>1</v>
      </c>
      <c r="D35" s="4" t="s">
        <v>30</v>
      </c>
      <c r="E35" s="13" t="s">
        <v>31</v>
      </c>
      <c r="F35" s="13" t="s">
        <v>30</v>
      </c>
      <c r="G35" s="13" t="s">
        <v>31</v>
      </c>
      <c r="H35" s="13" t="s">
        <v>30</v>
      </c>
      <c r="I35" s="13" t="s">
        <v>31</v>
      </c>
      <c r="J35" s="13" t="s">
        <v>30</v>
      </c>
      <c r="K35" s="14" t="s">
        <v>31</v>
      </c>
      <c r="L35" s="4" t="s">
        <v>30</v>
      </c>
      <c r="M35" s="13" t="s">
        <v>31</v>
      </c>
      <c r="N35" s="13" t="s">
        <v>30</v>
      </c>
      <c r="O35" s="13" t="s">
        <v>31</v>
      </c>
      <c r="P35" s="13" t="s">
        <v>30</v>
      </c>
      <c r="Q35" s="13" t="s">
        <v>31</v>
      </c>
      <c r="R35" s="13" t="s">
        <v>30</v>
      </c>
      <c r="S35" s="14" t="s">
        <v>31</v>
      </c>
    </row>
    <row r="36" spans="1:19" x14ac:dyDescent="0.25">
      <c r="A36" s="3" t="s">
        <v>18</v>
      </c>
      <c r="D36" s="7">
        <v>13.2</v>
      </c>
      <c r="E36" s="6">
        <v>8000</v>
      </c>
      <c r="F36" s="6">
        <v>10.8</v>
      </c>
      <c r="G36" s="6">
        <v>7000</v>
      </c>
      <c r="H36" s="6">
        <v>9.5</v>
      </c>
      <c r="I36" s="6">
        <v>6000</v>
      </c>
      <c r="J36" s="6">
        <v>7.2</v>
      </c>
      <c r="K36" s="8">
        <v>8000</v>
      </c>
      <c r="L36" s="7">
        <v>13.8</v>
      </c>
      <c r="M36" s="6">
        <v>8000</v>
      </c>
      <c r="N36" s="6">
        <v>11.3</v>
      </c>
      <c r="O36" s="6">
        <v>7000</v>
      </c>
      <c r="P36" s="6">
        <v>9.9</v>
      </c>
      <c r="Q36" s="6">
        <v>6000</v>
      </c>
      <c r="R36" s="6">
        <v>7.5</v>
      </c>
      <c r="S36" s="21">
        <v>5500</v>
      </c>
    </row>
    <row r="37" spans="1:19" x14ac:dyDescent="0.25">
      <c r="A37" s="3" t="s">
        <v>19</v>
      </c>
      <c r="D37" s="11">
        <v>11</v>
      </c>
      <c r="E37" s="10">
        <v>8000</v>
      </c>
      <c r="F37" s="10">
        <v>9</v>
      </c>
      <c r="G37" s="10">
        <v>7000</v>
      </c>
      <c r="H37" s="10">
        <v>7.9</v>
      </c>
      <c r="I37" s="10">
        <v>6000</v>
      </c>
      <c r="J37" s="10">
        <v>6</v>
      </c>
      <c r="K37" s="12">
        <v>8000</v>
      </c>
      <c r="L37" s="11">
        <v>12.2</v>
      </c>
      <c r="M37" s="10">
        <v>6500</v>
      </c>
      <c r="N37" s="10">
        <v>10</v>
      </c>
      <c r="O37" s="10">
        <v>6000</v>
      </c>
      <c r="P37" s="10">
        <v>8.6999999999999993</v>
      </c>
      <c r="Q37" s="10">
        <v>5000</v>
      </c>
      <c r="R37" s="10">
        <v>6.7</v>
      </c>
      <c r="S37" s="14">
        <v>5000</v>
      </c>
    </row>
    <row r="38" spans="1:19" x14ac:dyDescent="0.25">
      <c r="A38" s="3" t="s">
        <v>20</v>
      </c>
      <c r="D38" s="11">
        <v>7.2</v>
      </c>
      <c r="E38" s="10">
        <v>6000</v>
      </c>
      <c r="F38" s="10">
        <v>5.9</v>
      </c>
      <c r="G38" s="10">
        <v>5500</v>
      </c>
      <c r="H38" s="10">
        <v>5.2</v>
      </c>
      <c r="I38" s="10">
        <v>4500</v>
      </c>
      <c r="J38" s="10">
        <v>3.9</v>
      </c>
      <c r="K38" s="12">
        <v>6000</v>
      </c>
      <c r="L38" s="11">
        <v>7.5</v>
      </c>
      <c r="M38" s="10">
        <v>6000</v>
      </c>
      <c r="N38" s="10">
        <v>6.1</v>
      </c>
      <c r="O38" s="10">
        <v>5500</v>
      </c>
      <c r="P38" s="10">
        <v>5.4</v>
      </c>
      <c r="Q38" s="10">
        <v>4500</v>
      </c>
      <c r="R38" s="10">
        <v>4.0999999999999996</v>
      </c>
      <c r="S38" s="14">
        <v>4000</v>
      </c>
    </row>
    <row r="39" spans="1:19" x14ac:dyDescent="0.25">
      <c r="A39" s="3" t="s">
        <v>21</v>
      </c>
      <c r="D39" s="11"/>
      <c r="E39" s="10"/>
      <c r="F39" s="10"/>
      <c r="G39" s="10"/>
      <c r="H39" s="10"/>
      <c r="I39" s="10"/>
      <c r="J39" s="10"/>
      <c r="K39" s="12"/>
      <c r="L39" s="11"/>
      <c r="M39" s="10"/>
      <c r="N39" s="2"/>
      <c r="O39" s="2"/>
      <c r="P39" s="13"/>
      <c r="Q39" s="13"/>
      <c r="R39" s="13"/>
      <c r="S39" s="14"/>
    </row>
    <row r="40" spans="1:19" x14ac:dyDescent="0.25">
      <c r="A40" s="3" t="s">
        <v>17</v>
      </c>
      <c r="D40" s="11"/>
      <c r="E40" s="10"/>
      <c r="F40" s="10"/>
      <c r="G40" s="10"/>
      <c r="H40" s="10"/>
      <c r="I40" s="10"/>
      <c r="J40" s="10"/>
      <c r="K40" s="12"/>
      <c r="L40" s="11"/>
      <c r="M40" s="10"/>
      <c r="N40" s="2"/>
      <c r="O40" s="2"/>
      <c r="P40" s="13"/>
      <c r="Q40" s="13"/>
      <c r="R40" s="13"/>
      <c r="S40" s="14"/>
    </row>
    <row r="41" spans="1:19" x14ac:dyDescent="0.25">
      <c r="A41" s="3" t="s">
        <v>22</v>
      </c>
      <c r="D41" s="11"/>
      <c r="E41" s="10"/>
      <c r="F41" s="10"/>
      <c r="G41" s="10"/>
      <c r="H41" s="10"/>
      <c r="I41" s="10"/>
      <c r="J41" s="10"/>
      <c r="K41" s="12"/>
      <c r="L41" s="11"/>
      <c r="M41" s="10"/>
      <c r="N41" s="2"/>
      <c r="O41" s="2"/>
      <c r="P41" s="13"/>
      <c r="Q41" s="13"/>
      <c r="R41" s="13"/>
      <c r="S41" s="14"/>
    </row>
    <row r="42" spans="1:19" x14ac:dyDescent="0.25">
      <c r="A42" s="3" t="s">
        <v>23</v>
      </c>
      <c r="D42" s="11"/>
      <c r="E42" s="10"/>
      <c r="F42" s="10"/>
      <c r="G42" s="10"/>
      <c r="H42" s="10"/>
      <c r="I42" s="10"/>
      <c r="J42" s="10"/>
      <c r="K42" s="12"/>
      <c r="L42" s="11"/>
      <c r="M42" s="10"/>
      <c r="N42" s="2"/>
      <c r="O42" s="2"/>
      <c r="P42" s="13"/>
      <c r="Q42" s="13"/>
      <c r="R42" s="13"/>
      <c r="S42" s="14"/>
    </row>
    <row r="43" spans="1:19" x14ac:dyDescent="0.25">
      <c r="A43" s="3" t="s">
        <v>24</v>
      </c>
      <c r="D43" s="11"/>
      <c r="E43" s="10"/>
      <c r="F43" s="10"/>
      <c r="G43" s="10"/>
      <c r="H43" s="10"/>
      <c r="I43" s="10"/>
      <c r="J43" s="10"/>
      <c r="K43" s="12"/>
      <c r="L43" s="11"/>
      <c r="M43" s="10"/>
      <c r="N43" s="2"/>
      <c r="O43" s="2"/>
      <c r="P43" s="13"/>
      <c r="Q43" s="13"/>
      <c r="R43" s="13"/>
      <c r="S43" s="14"/>
    </row>
    <row r="44" spans="1:19" x14ac:dyDescent="0.25">
      <c r="A44" s="3" t="s">
        <v>25</v>
      </c>
      <c r="D44" s="17"/>
      <c r="E44" s="16"/>
      <c r="F44" s="16"/>
      <c r="G44" s="16"/>
      <c r="H44" s="16"/>
      <c r="I44" s="16"/>
      <c r="J44" s="16"/>
      <c r="K44" s="24"/>
      <c r="L44" s="17"/>
      <c r="M44" s="16"/>
      <c r="N44" s="18"/>
      <c r="O44" s="18"/>
      <c r="P44" s="1"/>
      <c r="Q44" s="1"/>
      <c r="R44" s="1"/>
      <c r="S44" s="19"/>
    </row>
    <row r="48" spans="1:19" x14ac:dyDescent="0.25">
      <c r="A48" s="1" t="s">
        <v>1</v>
      </c>
      <c r="C48" s="3"/>
    </row>
    <row r="49" spans="1:3" x14ac:dyDescent="0.25">
      <c r="A49" s="3" t="s">
        <v>18</v>
      </c>
      <c r="C49" s="3"/>
    </row>
    <row r="50" spans="1:3" x14ac:dyDescent="0.25">
      <c r="A50" s="3" t="s">
        <v>19</v>
      </c>
      <c r="C50" s="3"/>
    </row>
    <row r="51" spans="1:3" x14ac:dyDescent="0.25">
      <c r="A51" s="3" t="s">
        <v>20</v>
      </c>
      <c r="C51" s="3"/>
    </row>
    <row r="52" spans="1:3" x14ac:dyDescent="0.25">
      <c r="A52" s="3" t="s">
        <v>21</v>
      </c>
      <c r="C52" s="3"/>
    </row>
    <row r="53" spans="1:3" x14ac:dyDescent="0.25">
      <c r="A53" s="3" t="s">
        <v>17</v>
      </c>
      <c r="C53" s="3"/>
    </row>
    <row r="54" spans="1:3" x14ac:dyDescent="0.25">
      <c r="A54" s="3" t="s">
        <v>22</v>
      </c>
      <c r="C54" s="3"/>
    </row>
    <row r="55" spans="1:3" x14ac:dyDescent="0.25">
      <c r="A55" s="3" t="s">
        <v>23</v>
      </c>
      <c r="C55" s="3"/>
    </row>
    <row r="56" spans="1:3" x14ac:dyDescent="0.25">
      <c r="A56" s="3" t="s">
        <v>24</v>
      </c>
      <c r="C56" s="3"/>
    </row>
    <row r="57" spans="1:3" x14ac:dyDescent="0.25">
      <c r="A57" s="3" t="s">
        <v>25</v>
      </c>
    </row>
  </sheetData>
  <dataValidations count="5">
    <dataValidation type="list" allowBlank="1" showInputMessage="1" showErrorMessage="1" sqref="U18">
      <formula1>$G$5:$G$8</formula1>
    </dataValidation>
    <dataValidation type="list" showInputMessage="1" showErrorMessage="1" sqref="U19">
      <formula1>$A$20:$A$28</formula1>
    </dataValidation>
    <dataValidation type="list" showInputMessage="1" showErrorMessage="1" sqref="U20">
      <formula1>$A$9:$A$10</formula1>
    </dataValidation>
    <dataValidation type="list" allowBlank="1" showInputMessage="1" showErrorMessage="1" promptTitle="None" sqref="U22">
      <formula1>$A$13:$A$16</formula1>
    </dataValidation>
    <dataValidation type="list" allowBlank="1" showInputMessage="1" showErrorMessage="1" promptTitle="Dry" sqref="U21">
      <formula1>$A$5:$A$6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Lumber Column with Axial Load</vt:lpstr>
      <vt:lpstr>Property Tables</vt:lpstr>
      <vt:lpstr>Sheet3</vt:lpstr>
      <vt:lpstr>'Lumber Column with Axial Load'!Print_Area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Jeffrey Erochko</cp:lastModifiedBy>
  <cp:lastPrinted>2014-03-30T18:59:28Z</cp:lastPrinted>
  <dcterms:created xsi:type="dcterms:W3CDTF">2014-03-26T22:47:16Z</dcterms:created>
  <dcterms:modified xsi:type="dcterms:W3CDTF">2014-04-25T15:11:50Z</dcterms:modified>
</cp:coreProperties>
</file>