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Carleton\Teaching\CIVE4202 - Wood Engineering\2014\Term Project\Submissions\Posted Submissions\"/>
    </mc:Choice>
  </mc:AlternateContent>
  <bookViews>
    <workbookView xWindow="240" yWindow="45" windowWidth="20115" windowHeight="7995"/>
  </bookViews>
  <sheets>
    <sheet name="Sheet1" sheetId="1" r:id="rId1"/>
    <sheet name="Material Properties" sheetId="2" r:id="rId2"/>
    <sheet name="Other Lists" sheetId="3" r:id="rId3"/>
    <sheet name="Graph Data" sheetId="4" r:id="rId4"/>
  </sheets>
  <definedNames>
    <definedName name="DFirL">'Material Properties'!$A$10:$A$18</definedName>
    <definedName name="DouglasFirLarch">'Material Properties'!$A$21:$A$28</definedName>
    <definedName name="glulam">'Material Properties'!$C$5:$C$7</definedName>
    <definedName name="gradeG">'Material Properties'!$A$21:$A$28</definedName>
    <definedName name="gradeL">'Material Properties'!$A$10:$A$18</definedName>
    <definedName name="HemFir">'Material Properties'!$C$10:$C$18</definedName>
    <definedName name="HemFirandDouglasFirLarch">'Material Properties'!$C$21:$C$28</definedName>
    <definedName name="kd">'Other Lists'!$A$7:$A$9</definedName>
    <definedName name="lumber">'Material Properties'!$A$5:$A$8</definedName>
    <definedName name="material">'Material Properties'!$A$2:$A$3</definedName>
    <definedName name="Northern">'Material Properties'!$G$10:$G$18</definedName>
    <definedName name="ServiceCondition">'Other Lists'!$C$2:$C$3</definedName>
    <definedName name="SPF">'Material Properties'!$E$10:$E$18</definedName>
    <definedName name="SpruceLodgepolePineJackPine">'Material Properties'!$B$21:$B$24</definedName>
    <definedName name="SystemFactor">'Other Lists'!$A$2:$A$3</definedName>
    <definedName name="TreatmentFactor">'Other Lists'!$E$2:$E$4</definedName>
  </definedNames>
  <calcPr calcId="152511"/>
</workbook>
</file>

<file path=xl/calcChain.xml><?xml version="1.0" encoding="utf-8"?>
<calcChain xmlns="http://schemas.openxmlformats.org/spreadsheetml/2006/main">
  <c r="C29" i="1" l="1"/>
  <c r="G7" i="4" l="1"/>
  <c r="E134" i="1"/>
  <c r="E133" i="1"/>
  <c r="B27" i="3"/>
  <c r="I13" i="1" s="1"/>
  <c r="G18" i="4"/>
  <c r="G19" i="4"/>
  <c r="G20" i="4"/>
  <c r="G17" i="4"/>
  <c r="G9" i="4"/>
  <c r="G8" i="4"/>
  <c r="G6" i="4"/>
  <c r="G5" i="4"/>
  <c r="C20" i="4"/>
  <c r="C19" i="4"/>
  <c r="C18" i="4"/>
  <c r="C17" i="4"/>
  <c r="C9" i="4"/>
  <c r="C8" i="4"/>
  <c r="C7" i="4"/>
  <c r="C6" i="4"/>
  <c r="C5" i="4"/>
  <c r="C4" i="4"/>
  <c r="A4" i="4"/>
  <c r="G4" i="4" s="1"/>
  <c r="B127" i="1"/>
  <c r="C27" i="1"/>
  <c r="I14" i="1"/>
  <c r="E6" i="4" s="1"/>
  <c r="G30" i="2"/>
  <c r="F30" i="2"/>
  <c r="I10" i="1"/>
  <c r="B17" i="4" s="1"/>
  <c r="C28" i="1" l="1"/>
  <c r="D28" i="1" s="1"/>
  <c r="E18" i="4"/>
  <c r="E5" i="4"/>
  <c r="E4" i="4"/>
  <c r="E20" i="4"/>
  <c r="E19" i="4"/>
  <c r="E9" i="4"/>
  <c r="E17" i="4"/>
  <c r="E8" i="4"/>
  <c r="E7" i="4"/>
  <c r="B4" i="4"/>
  <c r="B18" i="4"/>
  <c r="B9" i="4"/>
  <c r="B8" i="4"/>
  <c r="B6" i="4"/>
  <c r="B20" i="4"/>
  <c r="B7" i="4"/>
  <c r="B5" i="4"/>
  <c r="B19" i="4"/>
  <c r="A39" i="2"/>
  <c r="I8" i="1" s="1"/>
  <c r="I11" i="1" l="1"/>
  <c r="H89" i="1"/>
  <c r="H87" i="1"/>
  <c r="H86" i="1"/>
  <c r="H85" i="1"/>
  <c r="H84" i="1"/>
  <c r="H83" i="1"/>
  <c r="H82" i="1"/>
  <c r="H80" i="1"/>
  <c r="H79" i="1"/>
  <c r="H77" i="1"/>
  <c r="H76" i="1"/>
  <c r="H78" i="1"/>
  <c r="H75" i="1"/>
  <c r="H73" i="1"/>
  <c r="H72" i="1"/>
  <c r="H71" i="1"/>
  <c r="H70" i="1"/>
  <c r="H69" i="1"/>
  <c r="H68" i="1"/>
  <c r="H66" i="1"/>
  <c r="C96" i="1" s="1"/>
  <c r="E114" i="1" s="1"/>
  <c r="E115" i="1" s="1"/>
  <c r="F18" i="4" l="1"/>
  <c r="F5" i="4"/>
  <c r="F4" i="4"/>
  <c r="F17" i="4"/>
  <c r="F19" i="4"/>
  <c r="F6" i="4"/>
  <c r="F20" i="4"/>
  <c r="F7" i="4"/>
  <c r="F8" i="4"/>
  <c r="F9" i="4"/>
  <c r="C100" i="1"/>
  <c r="E120" i="1" s="1"/>
  <c r="E121" i="1" s="1"/>
  <c r="C98" i="1"/>
  <c r="E117" i="1" s="1"/>
  <c r="E118" i="1" s="1"/>
  <c r="I12" i="1"/>
  <c r="C128" i="1" s="1"/>
  <c r="G133" i="1" s="1"/>
  <c r="I107" i="1" l="1"/>
  <c r="G118" i="1" s="1"/>
  <c r="H118" i="1" s="1"/>
  <c r="I110" i="1"/>
  <c r="G121" i="1" s="1"/>
  <c r="H121" i="1" s="1"/>
  <c r="C129" i="1"/>
  <c r="G134" i="1" s="1"/>
  <c r="H134" i="1" s="1"/>
  <c r="G137" i="1" s="1"/>
  <c r="C107" i="1"/>
  <c r="C13" i="3" s="1"/>
  <c r="D20" i="4"/>
  <c r="D8" i="4"/>
  <c r="D9" i="4"/>
  <c r="D18" i="4"/>
  <c r="D6" i="4"/>
  <c r="D7" i="4"/>
  <c r="D17" i="4"/>
  <c r="D4" i="4"/>
  <c r="D5" i="4"/>
  <c r="D19" i="4"/>
  <c r="H133" i="1"/>
  <c r="C136" i="1"/>
  <c r="G136" i="1"/>
  <c r="C104" i="1"/>
  <c r="B13" i="3" s="1"/>
  <c r="C110" i="1"/>
  <c r="D13" i="3" s="1"/>
  <c r="B47" i="1"/>
  <c r="C137" i="1" l="1"/>
  <c r="G120" i="1"/>
  <c r="H120" i="1" s="1"/>
  <c r="I104" i="1"/>
  <c r="G115" i="1" s="1"/>
  <c r="H115" i="1" s="1"/>
  <c r="G117" i="1"/>
  <c r="H117" i="1" s="1"/>
  <c r="G114" i="1"/>
  <c r="C123" i="1" l="1"/>
  <c r="D48" i="1" s="1"/>
  <c r="G123" i="1"/>
  <c r="G48" i="1" s="1"/>
  <c r="H114" i="1"/>
  <c r="G122" i="1" s="1"/>
  <c r="G47" i="1" s="1"/>
  <c r="C122" i="1"/>
  <c r="C15" i="3" l="1"/>
  <c r="D47" i="1"/>
  <c r="H17" i="4" l="1"/>
  <c r="I17" i="4" s="1"/>
  <c r="H4" i="4"/>
  <c r="I4" i="4" s="1"/>
  <c r="H19" i="4"/>
  <c r="I19" i="4" s="1"/>
  <c r="H7" i="4"/>
  <c r="I7" i="4" s="1"/>
  <c r="H9" i="4"/>
  <c r="I9" i="4" s="1"/>
  <c r="H18" i="4"/>
  <c r="I18" i="4" s="1"/>
  <c r="H5" i="4"/>
  <c r="I5" i="4" s="1"/>
  <c r="H6" i="4"/>
  <c r="I6" i="4" s="1"/>
  <c r="H20" i="4"/>
  <c r="I20" i="4" s="1"/>
  <c r="H8" i="4"/>
  <c r="I8" i="4" s="1"/>
</calcChain>
</file>

<file path=xl/sharedStrings.xml><?xml version="1.0" encoding="utf-8"?>
<sst xmlns="http://schemas.openxmlformats.org/spreadsheetml/2006/main" count="318" uniqueCount="169">
  <si>
    <t>Material</t>
  </si>
  <si>
    <t>Lumber</t>
  </si>
  <si>
    <t>Glulam</t>
  </si>
  <si>
    <t>Species (Lumber)</t>
  </si>
  <si>
    <t>Species (Glulam)</t>
  </si>
  <si>
    <t>DFirL</t>
  </si>
  <si>
    <t>DouglasFirLarch</t>
  </si>
  <si>
    <t>HemFir</t>
  </si>
  <si>
    <t>SpruceLodgepolePineJackPine</t>
  </si>
  <si>
    <t>SPF</t>
  </si>
  <si>
    <t>HemFirandDouglasFirLarch</t>
  </si>
  <si>
    <t>Northern</t>
  </si>
  <si>
    <t>Grade (Lumber)</t>
  </si>
  <si>
    <t>Select Structural</t>
  </si>
  <si>
    <t>No. 1</t>
  </si>
  <si>
    <t>No. 2</t>
  </si>
  <si>
    <t>No. 3</t>
  </si>
  <si>
    <t>Stud</t>
  </si>
  <si>
    <t>Construction</t>
  </si>
  <si>
    <t>Standard</t>
  </si>
  <si>
    <t>Select</t>
  </si>
  <si>
    <t>Commercial</t>
  </si>
  <si>
    <t>Grade (Glulam)</t>
  </si>
  <si>
    <t>24f-E</t>
  </si>
  <si>
    <t>24f-EX</t>
  </si>
  <si>
    <t>20f-E</t>
  </si>
  <si>
    <t>20f-EX</t>
  </si>
  <si>
    <t>18t-E</t>
  </si>
  <si>
    <t>16c-E</t>
  </si>
  <si>
    <t>14t-E</t>
  </si>
  <si>
    <t>12c-E</t>
  </si>
  <si>
    <t>Category (Lumber)</t>
  </si>
  <si>
    <t>Light Framing</t>
  </si>
  <si>
    <t>Structural light framing</t>
  </si>
  <si>
    <t>Structural joists and planks</t>
  </si>
  <si>
    <t>Beam and stringer</t>
  </si>
  <si>
    <t>Post and timber</t>
  </si>
  <si>
    <t>Plank Decking</t>
  </si>
  <si>
    <t>Local Bearing on a Lumber or Glulam Beam</t>
  </si>
  <si>
    <t>For EDUCATIONAL PURPOSES ONLY - Not for use as a design aid</t>
  </si>
  <si>
    <t>INPUTS</t>
  </si>
  <si>
    <t>Material:</t>
  </si>
  <si>
    <t>Species:</t>
  </si>
  <si>
    <t>Grade:</t>
  </si>
  <si>
    <t>Service Condition:</t>
  </si>
  <si>
    <t>Treatment:</t>
  </si>
  <si>
    <t>Width (b) =</t>
  </si>
  <si>
    <t>Depth (d) =</t>
  </si>
  <si>
    <t>LOADS: (Tension = + , Compression = - )</t>
  </si>
  <si>
    <t>Dead (D)</t>
  </si>
  <si>
    <t>kN</t>
  </si>
  <si>
    <t>Live (L)</t>
  </si>
  <si>
    <t>Wind (W)</t>
  </si>
  <si>
    <t>Snow (S)</t>
  </si>
  <si>
    <t>RESULTS</t>
  </si>
  <si>
    <t>Category:</t>
  </si>
  <si>
    <t>System Factor</t>
  </si>
  <si>
    <t>None</t>
  </si>
  <si>
    <t>&lt;610mm apart</t>
  </si>
  <si>
    <t>Service Condition</t>
  </si>
  <si>
    <t>Dry</t>
  </si>
  <si>
    <t>Wet</t>
  </si>
  <si>
    <t>Treatment Factor</t>
  </si>
  <si>
    <t>Treated, Unincised</t>
  </si>
  <si>
    <t>Treated Incised</t>
  </si>
  <si>
    <t>System Factor:</t>
  </si>
  <si>
    <t>CALCULATIONS</t>
  </si>
  <si>
    <t xml:space="preserve">Factored Load: </t>
  </si>
  <si>
    <r>
      <rPr>
        <sz val="12"/>
        <color theme="1"/>
        <rFont val="Bookman Old Style"/>
        <family val="1"/>
      </rPr>
      <t>f</t>
    </r>
    <r>
      <rPr>
        <sz val="9"/>
        <color theme="1"/>
        <rFont val="Bookman Old Style"/>
        <family val="1"/>
      </rPr>
      <t xml:space="preserve">cp </t>
    </r>
    <r>
      <rPr>
        <sz val="11"/>
        <color theme="1"/>
        <rFont val="Bookman Old Style"/>
        <family val="1"/>
      </rPr>
      <t>=</t>
    </r>
  </si>
  <si>
    <r>
      <t>Ks</t>
    </r>
    <r>
      <rPr>
        <sz val="10"/>
        <color theme="1"/>
        <rFont val="Bookman Old Style"/>
        <family val="1"/>
      </rPr>
      <t xml:space="preserve">cp </t>
    </r>
    <r>
      <rPr>
        <sz val="11"/>
        <color theme="1"/>
        <rFont val="Bookman Old Style"/>
        <family val="1"/>
      </rPr>
      <t>=</t>
    </r>
  </si>
  <si>
    <r>
      <t>K</t>
    </r>
    <r>
      <rPr>
        <sz val="10"/>
        <color theme="1"/>
        <rFont val="Bookman Old Style"/>
        <family val="1"/>
      </rPr>
      <t xml:space="preserve">t </t>
    </r>
    <r>
      <rPr>
        <sz val="11"/>
        <color theme="1"/>
        <rFont val="Bookman Old Style"/>
        <family val="1"/>
      </rPr>
      <t>=</t>
    </r>
  </si>
  <si>
    <r>
      <t>K</t>
    </r>
    <r>
      <rPr>
        <sz val="10"/>
        <color theme="1"/>
        <rFont val="Bookman Old Style"/>
        <family val="1"/>
      </rPr>
      <t xml:space="preserve">b </t>
    </r>
    <r>
      <rPr>
        <sz val="11"/>
        <color theme="1"/>
        <rFont val="Bookman Old Style"/>
        <family val="1"/>
      </rPr>
      <t>=</t>
    </r>
  </si>
  <si>
    <r>
      <t>K</t>
    </r>
    <r>
      <rPr>
        <sz val="10"/>
        <color theme="1"/>
        <rFont val="Bookman Old Style"/>
        <family val="1"/>
      </rPr>
      <t xml:space="preserve">zcp </t>
    </r>
    <r>
      <rPr>
        <sz val="11"/>
        <color theme="1"/>
        <rFont val="Bookman Old Style"/>
        <family val="1"/>
      </rPr>
      <t>=</t>
    </r>
  </si>
  <si>
    <t>Unfactored:</t>
  </si>
  <si>
    <t xml:space="preserve">Factored: </t>
  </si>
  <si>
    <r>
      <t xml:space="preserve">Please fill out </t>
    </r>
    <r>
      <rPr>
        <b/>
        <sz val="11"/>
        <color rgb="FFFF0000"/>
        <rFont val="Baskerville Old Face"/>
        <family val="1"/>
      </rPr>
      <t xml:space="preserve">ONE </t>
    </r>
    <r>
      <rPr>
        <sz val="11"/>
        <color rgb="FFFF0000"/>
        <rFont val="Baskerville Old Face"/>
        <family val="1"/>
      </rPr>
      <t>of the following columns:</t>
    </r>
  </si>
  <si>
    <t xml:space="preserve">Case 1: </t>
  </si>
  <si>
    <t>1.4 D</t>
  </si>
  <si>
    <t xml:space="preserve">Case 2: </t>
  </si>
  <si>
    <t>1.25 D + 1.5 L</t>
  </si>
  <si>
    <t>1.25 D + 1.5 L + 0.5 S</t>
  </si>
  <si>
    <t>1.25 D + 1.5 L + 0.4 W</t>
  </si>
  <si>
    <t>Case 3:</t>
  </si>
  <si>
    <t>0.9 D + 1.5 L</t>
  </si>
  <si>
    <t>0.9 D + 1.5 L + 0.5 S</t>
  </si>
  <si>
    <t>0.9 D + 1.5 L + 0.4 W</t>
  </si>
  <si>
    <t>1.25 D + 1.5 S</t>
  </si>
  <si>
    <t>1.25 D + 1.5 S + 0.5 L</t>
  </si>
  <si>
    <t>1.25 D + 1.5 S + 0.4 W</t>
  </si>
  <si>
    <t>0.9 D + 1.5 S</t>
  </si>
  <si>
    <t>0.9 D + 1.5 S + 0.5 L</t>
  </si>
  <si>
    <t>0.9 D + 1.5 S + 0.4 W</t>
  </si>
  <si>
    <t>Case 4:</t>
  </si>
  <si>
    <t>1.25 D + 1.4 W</t>
  </si>
  <si>
    <t>1.25 D + 1.4 W + 0.5 S</t>
  </si>
  <si>
    <t>1.25 D + 1.4 W + 0.5 L</t>
  </si>
  <si>
    <t>0.9 D + 1.4 W</t>
  </si>
  <si>
    <t>0.9 D + 1.4 W + 0.5 S</t>
  </si>
  <si>
    <t>0.9 D + 1.4 W + 0.5 L</t>
  </si>
  <si>
    <t>Case 5:</t>
  </si>
  <si>
    <t>D + E + 0.5 L + 0.25 S</t>
  </si>
  <si>
    <r>
      <t>K</t>
    </r>
    <r>
      <rPr>
        <sz val="10"/>
        <color theme="1"/>
        <rFont val="Bookman Old Style"/>
        <family val="1"/>
      </rPr>
      <t xml:space="preserve">d </t>
    </r>
  </si>
  <si>
    <t>Earthquake (E)</t>
  </si>
  <si>
    <t>For Kd = 0.65,</t>
  </si>
  <si>
    <t>For Kd = 1.15,</t>
  </si>
  <si>
    <t>For Kd = 1,</t>
  </si>
  <si>
    <r>
      <rPr>
        <sz val="12"/>
        <color theme="1"/>
        <rFont val="Bookman Old Style"/>
        <family val="1"/>
      </rPr>
      <t>Q</t>
    </r>
    <r>
      <rPr>
        <sz val="9"/>
        <color theme="1"/>
        <rFont val="Bookman Old Style"/>
        <family val="1"/>
      </rPr>
      <t>f</t>
    </r>
    <r>
      <rPr>
        <sz val="11"/>
        <color theme="1"/>
        <rFont val="Bookman Old Style"/>
        <family val="1"/>
      </rPr>
      <t xml:space="preserve"> =</t>
    </r>
  </si>
  <si>
    <t>Value (kN)</t>
  </si>
  <si>
    <t xml:space="preserve">Factored Resistance: </t>
  </si>
  <si>
    <r>
      <t>L</t>
    </r>
    <r>
      <rPr>
        <sz val="9"/>
        <color theme="1"/>
        <rFont val="Bookman Old Style"/>
        <family val="1"/>
      </rPr>
      <t xml:space="preserve">b1 </t>
    </r>
    <r>
      <rPr>
        <sz val="11"/>
        <color theme="1"/>
        <rFont val="Bookman Old Style"/>
        <family val="1"/>
      </rPr>
      <t>(mm)=</t>
    </r>
  </si>
  <si>
    <r>
      <t>L</t>
    </r>
    <r>
      <rPr>
        <sz val="9"/>
        <color theme="1"/>
        <rFont val="Bookman Old Style"/>
        <family val="1"/>
      </rPr>
      <t xml:space="preserve">b2 </t>
    </r>
    <r>
      <rPr>
        <sz val="11"/>
        <color theme="1"/>
        <rFont val="Bookman Old Style"/>
        <family val="1"/>
      </rPr>
      <t>(mm)=</t>
    </r>
  </si>
  <si>
    <r>
      <t>d</t>
    </r>
    <r>
      <rPr>
        <sz val="9"/>
        <color theme="1"/>
        <rFont val="Bookman Old Style"/>
        <family val="1"/>
      </rPr>
      <t xml:space="preserve">s </t>
    </r>
    <r>
      <rPr>
        <sz val="11"/>
        <color theme="1"/>
        <rFont val="Bookman Old Style"/>
        <family val="1"/>
      </rPr>
      <t>(mm) =</t>
    </r>
  </si>
  <si>
    <r>
      <t>b</t>
    </r>
    <r>
      <rPr>
        <sz val="8"/>
        <color theme="1"/>
        <rFont val="Bookman Old Style"/>
        <family val="1"/>
      </rPr>
      <t xml:space="preserve">1 </t>
    </r>
    <r>
      <rPr>
        <sz val="11"/>
        <color theme="1"/>
        <rFont val="Bookman Old Style"/>
        <family val="1"/>
      </rPr>
      <t xml:space="preserve">(mm) = </t>
    </r>
  </si>
  <si>
    <r>
      <t>b</t>
    </r>
    <r>
      <rPr>
        <sz val="8"/>
        <color theme="1"/>
        <rFont val="Bookman Old Style"/>
        <family val="1"/>
      </rPr>
      <t xml:space="preserve">2 </t>
    </r>
    <r>
      <rPr>
        <sz val="11"/>
        <color theme="1"/>
        <rFont val="Bookman Old Style"/>
        <family val="1"/>
      </rPr>
      <t xml:space="preserve">(mm) = </t>
    </r>
  </si>
  <si>
    <t>Dimensions:</t>
  </si>
  <si>
    <t>:</t>
  </si>
  <si>
    <t xml:space="preserve">b (mm)= </t>
  </si>
  <si>
    <t xml:space="preserve">Failure Check: </t>
  </si>
  <si>
    <r>
      <rPr>
        <sz val="12"/>
        <color theme="1"/>
        <rFont val="Bookman Old Style"/>
        <family val="1"/>
      </rPr>
      <t>Q</t>
    </r>
    <r>
      <rPr>
        <sz val="9"/>
        <color theme="1"/>
        <rFont val="Bookman Old Style"/>
        <family val="1"/>
      </rPr>
      <t>f</t>
    </r>
    <r>
      <rPr>
        <sz val="11"/>
        <color theme="1"/>
        <rFont val="Bookman Old Style"/>
        <family val="1"/>
      </rPr>
      <t xml:space="preserve"> &lt;</t>
    </r>
  </si>
  <si>
    <t>»</t>
  </si>
  <si>
    <t>&lt;</t>
  </si>
  <si>
    <t>Duration Factor</t>
  </si>
  <si>
    <t>Not specified</t>
  </si>
  <si>
    <t>Short Term</t>
  </si>
  <si>
    <t>Long Term</t>
  </si>
  <si>
    <t>REFERENCES</t>
  </si>
  <si>
    <t>Mississauga, ON: Canadian Standards Association.</t>
  </si>
  <si>
    <r>
      <t xml:space="preserve">Canadian Standards Association (CSA) (2010) </t>
    </r>
    <r>
      <rPr>
        <i/>
        <sz val="11"/>
        <color theme="1"/>
        <rFont val="Bookman Old Style"/>
        <family val="1"/>
      </rPr>
      <t>O86-09 Engineering design in wood with Update No.1.</t>
    </r>
    <r>
      <rPr>
        <sz val="11"/>
        <color theme="1"/>
        <rFont val="Bookman Old Style"/>
        <family val="1"/>
      </rPr>
      <t xml:space="preserve"> </t>
    </r>
  </si>
  <si>
    <r>
      <t>Q</t>
    </r>
    <r>
      <rPr>
        <sz val="9"/>
        <color theme="1"/>
        <rFont val="Bookman Old Style"/>
        <family val="1"/>
      </rPr>
      <t xml:space="preserve">f1 </t>
    </r>
    <r>
      <rPr>
        <sz val="11"/>
        <color theme="1"/>
        <rFont val="Bookman Old Style"/>
        <family val="1"/>
      </rPr>
      <t>=</t>
    </r>
  </si>
  <si>
    <r>
      <t>Q</t>
    </r>
    <r>
      <rPr>
        <sz val="9"/>
        <color theme="1"/>
        <rFont val="Bookman Old Style"/>
        <family val="1"/>
      </rPr>
      <t xml:space="preserve">f2 </t>
    </r>
    <r>
      <rPr>
        <sz val="11"/>
        <color theme="1"/>
        <rFont val="Bookman Old Style"/>
        <family val="1"/>
      </rPr>
      <t>=</t>
    </r>
  </si>
  <si>
    <t>fcp</t>
  </si>
  <si>
    <t>Category Picker:</t>
  </si>
  <si>
    <t>Min dimension</t>
  </si>
  <si>
    <t>Max dimension</t>
  </si>
  <si>
    <t>Long Term = 1.15</t>
  </si>
  <si>
    <t>Standard Term = 1</t>
  </si>
  <si>
    <t>Short Term = 0.65</t>
  </si>
  <si>
    <t>Factored Loads (if applicable):</t>
  </si>
  <si>
    <t xml:space="preserve">If given unfactored loads, </t>
  </si>
  <si>
    <t>Qr'</t>
  </si>
  <si>
    <t>Qr</t>
  </si>
  <si>
    <t>Lamination depth=</t>
  </si>
  <si>
    <t xml:space="preserve"> » IF APPLICABLE</t>
  </si>
  <si>
    <t>Ab' (mm^2) =</t>
  </si>
  <si>
    <t>Ab (mm^2) =</t>
  </si>
  <si>
    <t xml:space="preserve">Qr = </t>
  </si>
  <si>
    <t xml:space="preserve">Qr' = </t>
  </si>
  <si>
    <t xml:space="preserve"> Kd =</t>
  </si>
  <si>
    <t xml:space="preserve"> Qr =</t>
  </si>
  <si>
    <t xml:space="preserve"> Qr' =</t>
  </si>
  <si>
    <t>support to centre of bearing</t>
  </si>
  <si>
    <t xml:space="preserve"> » distance from centre of </t>
  </si>
  <si>
    <t xml:space="preserve">Note: In the diagram, Qf1 and Qf2 represent </t>
  </si>
  <si>
    <t xml:space="preserve">factored loads. Unfactored loads can be </t>
  </si>
  <si>
    <t xml:space="preserve">inputted if factored loads are not provided. </t>
  </si>
  <si>
    <t xml:space="preserve">Width </t>
  </si>
  <si>
    <t>Kscp</t>
  </si>
  <si>
    <t>Kt</t>
  </si>
  <si>
    <t>Kzcp</t>
  </si>
  <si>
    <t>Kb</t>
  </si>
  <si>
    <t>Graph Data</t>
  </si>
  <si>
    <t>Ab</t>
  </si>
  <si>
    <t>Kd</t>
  </si>
  <si>
    <t xml:space="preserve">If given Factored loads, </t>
  </si>
  <si>
    <t xml:space="preserve">Governing Kd = </t>
  </si>
  <si>
    <t>b1</t>
  </si>
  <si>
    <t xml:space="preserve">Kb = </t>
  </si>
  <si>
    <t>Select appropriate duration</t>
  </si>
  <si>
    <t>Sarah Ladhani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</si>
</sst>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6"/>
      <color rgb="FFFF0000"/>
      <name val="Bookman Old Style"/>
      <family val="1"/>
    </font>
    <font>
      <sz val="12"/>
      <color theme="1"/>
      <name val="Bookman Old Style"/>
      <family val="1"/>
    </font>
    <font>
      <sz val="14"/>
      <color theme="1"/>
      <name val="Baskerville Old Face"/>
      <family val="1"/>
    </font>
    <font>
      <sz val="11"/>
      <color theme="1"/>
      <name val="Bookman Old Style"/>
      <family val="1"/>
    </font>
    <font>
      <sz val="12"/>
      <color theme="1"/>
      <name val="Baskerville Old Fac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sz val="11"/>
      <color rgb="FFFF0000"/>
      <name val="Baskerville Old Face"/>
      <family val="1"/>
    </font>
    <font>
      <b/>
      <sz val="11"/>
      <color rgb="FFFF0000"/>
      <name val="Baskerville Old Face"/>
      <family val="1"/>
    </font>
    <font>
      <sz val="11"/>
      <color theme="1"/>
      <name val="Gill Sans MT"/>
      <family val="2"/>
    </font>
    <font>
      <sz val="11"/>
      <color theme="1"/>
      <name val="Baskerville Old Face"/>
      <family val="1"/>
    </font>
    <font>
      <sz val="8"/>
      <color theme="1"/>
      <name val="Bookman Old Style"/>
      <family val="1"/>
    </font>
    <font>
      <sz val="11"/>
      <color theme="1"/>
      <name val="Calibri"/>
      <family val="2"/>
    </font>
    <font>
      <u/>
      <sz val="12"/>
      <color theme="1"/>
      <name val="Bookman Old Style"/>
      <family val="1"/>
    </font>
    <font>
      <u/>
      <sz val="11"/>
      <color theme="1"/>
      <name val="Bookman Old Style"/>
      <family val="1"/>
    </font>
    <font>
      <sz val="18"/>
      <color theme="1"/>
      <name val="Bookman Old Style"/>
      <family val="1"/>
    </font>
    <font>
      <sz val="12"/>
      <color theme="1"/>
      <name val="Calibri"/>
      <family val="2"/>
      <scheme val="minor"/>
    </font>
    <font>
      <i/>
      <sz val="11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rgb="FFFF0000"/>
      <name val="Bookman Old Style"/>
      <family val="1"/>
    </font>
    <font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sz val="11"/>
      <color rgb="FF101010"/>
      <name val="Courier New"/>
      <family val="3"/>
    </font>
    <font>
      <b/>
      <sz val="9"/>
      <color theme="8" tint="-0.499984740745262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00CCFF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theme="3" tint="-0.2499465926084170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1" xfId="0" applyFont="1" applyBorder="1"/>
    <xf numFmtId="0" fontId="0" fillId="0" borderId="1" xfId="0" applyBorder="1"/>
    <xf numFmtId="0" fontId="7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0" xfId="0" applyFill="1" applyBorder="1"/>
    <xf numFmtId="0" fontId="7" fillId="3" borderId="8" xfId="0" applyFont="1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3" xfId="0" applyFill="1" applyBorder="1"/>
    <xf numFmtId="0" fontId="5" fillId="0" borderId="14" xfId="0" applyFont="1" applyBorder="1"/>
    <xf numFmtId="0" fontId="0" fillId="0" borderId="14" xfId="0" applyBorder="1"/>
    <xf numFmtId="0" fontId="4" fillId="0" borderId="0" xfId="0" applyFont="1" applyAlignment="1">
      <alignment horizontal="right"/>
    </xf>
    <xf numFmtId="0" fontId="10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Fill="1"/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Fill="1"/>
    <xf numFmtId="0" fontId="7" fillId="3" borderId="11" xfId="0" applyFont="1" applyFill="1" applyBorder="1"/>
    <xf numFmtId="0" fontId="7" fillId="4" borderId="2" xfId="0" applyFont="1" applyFill="1" applyBorder="1"/>
    <xf numFmtId="0" fontId="7" fillId="4" borderId="4" xfId="0" applyFont="1" applyFill="1" applyBorder="1"/>
    <xf numFmtId="0" fontId="7" fillId="4" borderId="3" xfId="0" applyFont="1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/>
    <xf numFmtId="0" fontId="0" fillId="0" borderId="0" xfId="0" applyNumberFormat="1"/>
    <xf numFmtId="2" fontId="7" fillId="0" borderId="0" xfId="0" applyNumberFormat="1" applyFont="1"/>
    <xf numFmtId="2" fontId="19" fillId="0" borderId="0" xfId="0" applyNumberFormat="1" applyFont="1"/>
    <xf numFmtId="2" fontId="0" fillId="0" borderId="0" xfId="0" applyNumberForma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6" borderId="3" xfId="0" applyFont="1" applyFill="1" applyBorder="1"/>
    <xf numFmtId="0" fontId="22" fillId="0" borderId="0" xfId="0" applyFont="1"/>
    <xf numFmtId="0" fontId="21" fillId="0" borderId="0" xfId="0" applyFont="1"/>
    <xf numFmtId="0" fontId="7" fillId="6" borderId="2" xfId="0" applyFont="1" applyFill="1" applyBorder="1"/>
    <xf numFmtId="0" fontId="7" fillId="6" borderId="4" xfId="0" applyFont="1" applyFill="1" applyBorder="1"/>
    <xf numFmtId="0" fontId="7" fillId="6" borderId="3" xfId="0" applyFont="1" applyFill="1" applyBorder="1"/>
    <xf numFmtId="2" fontId="7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right" vertical="center"/>
    </xf>
    <xf numFmtId="0" fontId="25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6" fillId="0" borderId="0" xfId="0" applyFont="1"/>
    <xf numFmtId="0" fontId="27" fillId="0" borderId="0" xfId="0" applyFont="1"/>
    <xf numFmtId="0" fontId="8" fillId="0" borderId="0" xfId="0" applyFont="1"/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2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1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6E6A2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Glulam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Glulam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</c:spPr>
          </c:marker>
          <c:xVal>
            <c:numRef>
              <c:f>'Graph Data'!$I$17:$I$20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'Graph Data'!$A$17:$A$20</c:f>
              <c:numCache>
                <c:formatCode>General</c:formatCode>
                <c:ptCount val="4"/>
                <c:pt idx="0">
                  <c:v>80</c:v>
                </c:pt>
                <c:pt idx="1">
                  <c:v>130</c:v>
                </c:pt>
                <c:pt idx="2">
                  <c:v>175</c:v>
                </c:pt>
                <c:pt idx="3">
                  <c:v>215</c:v>
                </c:pt>
              </c:numCache>
            </c:numRef>
          </c:yVal>
          <c:smooth val="1"/>
        </c:ser>
        <c:ser>
          <c:idx val="1"/>
          <c:order val="1"/>
          <c:tx>
            <c:v>current input</c:v>
          </c:tx>
          <c:marker>
            <c:spPr>
              <a:solidFill>
                <a:schemeClr val="accent5">
                  <a:lumMod val="60000"/>
                  <a:lumOff val="40000"/>
                </a:schemeClr>
              </a:solidFill>
            </c:spPr>
          </c:marker>
          <c:xVal>
            <c:numRef>
              <c:f>Sheet1!$D$47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Sheet1!$D$17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93568"/>
        <c:axId val="420599008"/>
      </c:scatterChart>
      <c:valAx>
        <c:axId val="42059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Qr (kN)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20599008"/>
        <c:crosses val="autoZero"/>
        <c:crossBetween val="midCat"/>
      </c:valAx>
      <c:valAx>
        <c:axId val="420599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Width (mm)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0593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Lumber</a:t>
            </a:r>
          </a:p>
        </c:rich>
      </c:tx>
      <c:layout>
        <c:manualLayout>
          <c:xMode val="edge"/>
          <c:yMode val="edge"/>
          <c:x val="0.38939632545931763"/>
          <c:y val="4.255319148936170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Lumber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</c:spPr>
          </c:marker>
          <c:xVal>
            <c:numRef>
              <c:f>'Graph Data'!$I$4:$I$9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'Graph Data'!$A$4:$A$9</c:f>
              <c:numCache>
                <c:formatCode>General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89</c:v>
                </c:pt>
                <c:pt idx="3">
                  <c:v>140</c:v>
                </c:pt>
                <c:pt idx="4">
                  <c:v>191</c:v>
                </c:pt>
                <c:pt idx="5">
                  <c:v>241</c:v>
                </c:pt>
              </c:numCache>
            </c:numRef>
          </c:yVal>
          <c:smooth val="1"/>
        </c:ser>
        <c:ser>
          <c:idx val="1"/>
          <c:order val="1"/>
          <c:tx>
            <c:v>current input</c:v>
          </c:tx>
          <c:marker>
            <c:spPr>
              <a:solidFill>
                <a:schemeClr val="accent5">
                  <a:lumMod val="60000"/>
                  <a:lumOff val="40000"/>
                </a:schemeClr>
              </a:solidFill>
            </c:spPr>
          </c:marker>
          <c:xVal>
            <c:numRef>
              <c:f>Sheet1!$D$47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Sheet1!$D$17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601728"/>
        <c:axId val="420600096"/>
      </c:scatterChart>
      <c:valAx>
        <c:axId val="42060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Qr</a:t>
                </a:r>
                <a:r>
                  <a:rPr lang="en-CA" baseline="0"/>
                  <a:t> (kN)</a:t>
                </a:r>
                <a:endParaRPr lang="en-CA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20600096"/>
        <c:crosses val="autoZero"/>
        <c:crossBetween val="midCat"/>
      </c:valAx>
      <c:valAx>
        <c:axId val="420600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Width</a:t>
                </a:r>
                <a:r>
                  <a:rPr lang="en-CA" baseline="0"/>
                  <a:t> (mm)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0601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209549</xdr:colOff>
      <xdr:row>14</xdr:row>
      <xdr:rowOff>11236</xdr:rowOff>
    </xdr:from>
    <xdr:to>
      <xdr:col>9</xdr:col>
      <xdr:colOff>571499</xdr:colOff>
      <xdr:row>30</xdr:row>
      <xdr:rowOff>153726</xdr:rowOff>
    </xdr:to>
    <xdr:pic>
      <xdr:nvPicPr>
        <xdr:cNvPr id="3" name="Picture 2" descr="Term project diagr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4324" y="3068761"/>
          <a:ext cx="3571875" cy="3361940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50</xdr:row>
      <xdr:rowOff>114300</xdr:rowOff>
    </xdr:from>
    <xdr:to>
      <xdr:col>4</xdr:col>
      <xdr:colOff>1219200</xdr:colOff>
      <xdr:row>59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66676</xdr:colOff>
      <xdr:row>50</xdr:row>
      <xdr:rowOff>123825</xdr:rowOff>
    </xdr:from>
    <xdr:to>
      <xdr:col>9</xdr:col>
      <xdr:colOff>590551</xdr:colOff>
      <xdr:row>59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144"/>
  <sheetViews>
    <sheetView tabSelected="1" workbookViewId="0">
      <selection activeCell="A3" sqref="A3"/>
    </sheetView>
  </sheetViews>
  <sheetFormatPr defaultRowHeight="15" x14ac:dyDescent="0.25"/>
  <cols>
    <col min="1" max="1" width="9.140625" customWidth="1"/>
    <col min="5" max="5" width="22.140625" customWidth="1"/>
    <col min="7" max="7" width="18.140625" customWidth="1"/>
    <col min="8" max="8" width="11.7109375" customWidth="1"/>
    <col min="10" max="10" width="12.7109375" customWidth="1"/>
    <col min="11" max="11" width="11.140625" customWidth="1"/>
    <col min="15" max="15" width="24.5703125" customWidth="1"/>
  </cols>
  <sheetData>
    <row r="1" spans="1:13" ht="23.25" x14ac:dyDescent="0.35">
      <c r="A1" s="4" t="s">
        <v>38</v>
      </c>
    </row>
    <row r="2" spans="1:13" ht="20.25" x14ac:dyDescent="0.3">
      <c r="A2" s="5" t="s">
        <v>39</v>
      </c>
    </row>
    <row r="3" spans="1:13" ht="15.75" x14ac:dyDescent="0.25">
      <c r="A3" s="6" t="s">
        <v>168</v>
      </c>
    </row>
    <row r="6" spans="1:13" ht="19.5" thickBot="1" x14ac:dyDescent="0.35">
      <c r="B6" s="9" t="s">
        <v>40</v>
      </c>
      <c r="C6" s="10"/>
      <c r="D6" s="10"/>
      <c r="E6" s="10"/>
      <c r="F6" s="10"/>
      <c r="G6" s="10"/>
    </row>
    <row r="7" spans="1:13" ht="16.5" thickTop="1" thickBot="1" x14ac:dyDescent="0.3"/>
    <row r="8" spans="1:13" ht="16.5" thickTop="1" x14ac:dyDescent="0.25">
      <c r="C8" s="7" t="s">
        <v>41</v>
      </c>
      <c r="D8" s="11" t="s">
        <v>1</v>
      </c>
      <c r="E8" s="12"/>
      <c r="F8" s="13"/>
      <c r="H8" s="8" t="s">
        <v>55</v>
      </c>
      <c r="I8" s="52" t="str">
        <f>IF(D8="Glulam","n.a.",'Material Properties'!A39)</f>
        <v>Light Framing</v>
      </c>
    </row>
    <row r="9" spans="1:13" ht="15.75" x14ac:dyDescent="0.25">
      <c r="C9" s="7" t="s">
        <v>42</v>
      </c>
      <c r="D9" s="86" t="s">
        <v>5</v>
      </c>
      <c r="E9" s="87"/>
      <c r="F9" s="88"/>
    </row>
    <row r="10" spans="1:13" ht="15.75" x14ac:dyDescent="0.25">
      <c r="C10" s="7" t="s">
        <v>43</v>
      </c>
      <c r="D10" s="86" t="s">
        <v>18</v>
      </c>
      <c r="E10" s="87"/>
      <c r="F10" s="14"/>
      <c r="H10" s="7" t="s">
        <v>68</v>
      </c>
      <c r="I10" s="32">
        <f>IF(D8="Glulam",IF(OR(D9="DouglasFirLarch",D9="SpruceLodgepolePineJackPine"),HLOOKUP(D9,'Material Properties'!K1:L3,3),HLOOKUP(Sheet1!D10,'Material Properties'!P2:Q3,2)),IF(D9="Northern",3.5,HLOOKUP(D9,'Material Properties'!K6:N7,2)))</f>
        <v>7</v>
      </c>
      <c r="M10" s="6"/>
    </row>
    <row r="11" spans="1:13" ht="16.5" x14ac:dyDescent="0.3">
      <c r="C11" s="7" t="s">
        <v>65</v>
      </c>
      <c r="D11" s="15" t="s">
        <v>57</v>
      </c>
      <c r="E11" s="16"/>
      <c r="F11" s="14"/>
      <c r="H11" s="21" t="s">
        <v>69</v>
      </c>
      <c r="I11" s="32">
        <f>IF(D12="Dry", 1,0.67)</f>
        <v>0.67</v>
      </c>
    </row>
    <row r="12" spans="1:13" ht="16.5" x14ac:dyDescent="0.3">
      <c r="C12" s="7" t="s">
        <v>44</v>
      </c>
      <c r="D12" s="15" t="s">
        <v>61</v>
      </c>
      <c r="E12" s="16"/>
      <c r="F12" s="14"/>
      <c r="H12" s="21" t="s">
        <v>70</v>
      </c>
      <c r="I12" s="32">
        <f>IF(D8="Glulam",1,IF(D8="Lumber",IF(D13="Treated, Unincised",1,IF(D13="None",1,IF(D12="Wet",0.85,IF(D12="Dry",0.75,))))))</f>
        <v>1</v>
      </c>
    </row>
    <row r="13" spans="1:13" ht="17.25" thickBot="1" x14ac:dyDescent="0.35">
      <c r="C13" s="7" t="s">
        <v>45</v>
      </c>
      <c r="D13" s="44" t="s">
        <v>63</v>
      </c>
      <c r="E13" s="17"/>
      <c r="F13" s="18"/>
      <c r="H13" s="21" t="s">
        <v>71</v>
      </c>
      <c r="I13" s="32">
        <f ca="1">'Other Lists'!B27</f>
        <v>1.75</v>
      </c>
    </row>
    <row r="14" spans="1:13" ht="17.25" thickTop="1" x14ac:dyDescent="0.3">
      <c r="C14" s="35"/>
      <c r="D14" s="31"/>
      <c r="E14" s="31"/>
      <c r="F14" s="31"/>
      <c r="G14" s="31"/>
      <c r="H14" s="21" t="s">
        <v>72</v>
      </c>
      <c r="I14" s="32" t="e">
        <f>IF(D8="Lumber",IF((D17/D18)&lt;=1,1,IF((D17/D18)&gt;=2,1.15,(1+(0.15*((D17/D18)-1))))),IF((D17/D25)&lt;=1,1,IF((D17/D25)&gt;=2,1.15,(1+(0.15*((D17/D25)-1))))))</f>
        <v>#DIV/0!</v>
      </c>
    </row>
    <row r="16" spans="1:13" ht="16.5" thickBot="1" x14ac:dyDescent="0.3">
      <c r="B16" s="39" t="s">
        <v>114</v>
      </c>
      <c r="C16" s="7"/>
    </row>
    <row r="17" spans="2:11" ht="16.5" thickTop="1" x14ac:dyDescent="0.25">
      <c r="C17" s="7" t="s">
        <v>46</v>
      </c>
      <c r="D17" s="63">
        <v>0</v>
      </c>
    </row>
    <row r="18" spans="2:11" ht="15.75" x14ac:dyDescent="0.25">
      <c r="C18" s="7" t="s">
        <v>47</v>
      </c>
      <c r="D18" s="64">
        <v>0</v>
      </c>
    </row>
    <row r="19" spans="2:11" ht="16.5" thickBot="1" x14ac:dyDescent="0.3">
      <c r="C19" s="35" t="s">
        <v>111</v>
      </c>
      <c r="D19" s="65">
        <v>0</v>
      </c>
      <c r="E19" s="38" t="s">
        <v>151</v>
      </c>
    </row>
    <row r="20" spans="2:11" ht="16.5" thickTop="1" thickBot="1" x14ac:dyDescent="0.3">
      <c r="E20" t="s">
        <v>150</v>
      </c>
    </row>
    <row r="21" spans="2:11" ht="16.5" thickTop="1" x14ac:dyDescent="0.25">
      <c r="C21" s="35" t="s">
        <v>109</v>
      </c>
      <c r="D21" s="63">
        <v>0</v>
      </c>
      <c r="E21" s="91" t="s">
        <v>142</v>
      </c>
    </row>
    <row r="22" spans="2:11" ht="15.75" x14ac:dyDescent="0.25">
      <c r="C22" s="35" t="s">
        <v>110</v>
      </c>
      <c r="D22" s="64">
        <v>0</v>
      </c>
      <c r="E22" s="91"/>
    </row>
    <row r="23" spans="2:11" ht="15.75" x14ac:dyDescent="0.25">
      <c r="C23" s="35" t="s">
        <v>112</v>
      </c>
      <c r="D23" s="64">
        <v>0</v>
      </c>
      <c r="E23" s="91" t="s">
        <v>142</v>
      </c>
    </row>
    <row r="24" spans="2:11" ht="15.75" x14ac:dyDescent="0.25">
      <c r="C24" s="35" t="s">
        <v>113</v>
      </c>
      <c r="D24" s="64">
        <v>0</v>
      </c>
      <c r="E24" s="91"/>
      <c r="G24" s="73"/>
      <c r="H24" s="73"/>
      <c r="I24" s="73"/>
      <c r="J24" s="73"/>
      <c r="K24" s="73"/>
    </row>
    <row r="25" spans="2:11" ht="16.5" thickBot="1" x14ac:dyDescent="0.3">
      <c r="C25" s="35" t="s">
        <v>141</v>
      </c>
      <c r="D25" s="65">
        <v>0</v>
      </c>
      <c r="E25" t="s">
        <v>142</v>
      </c>
      <c r="G25" s="73"/>
      <c r="H25" s="73"/>
      <c r="I25" s="73"/>
      <c r="J25" s="73"/>
      <c r="K25" s="73"/>
    </row>
    <row r="26" spans="2:11" ht="15.75" thickTop="1" x14ac:dyDescent="0.25">
      <c r="G26" s="73"/>
      <c r="H26" s="73"/>
      <c r="I26" s="73"/>
      <c r="J26" s="73"/>
      <c r="K26" s="73"/>
    </row>
    <row r="27" spans="2:11" x14ac:dyDescent="0.25">
      <c r="B27" s="7" t="s">
        <v>116</v>
      </c>
      <c r="C27" s="36">
        <f>IF(D19&gt;D18,"N.A.",((D23+D24)/2))</f>
        <v>0</v>
      </c>
      <c r="G27" s="73"/>
      <c r="H27" s="73"/>
      <c r="I27" s="73"/>
      <c r="J27" s="73"/>
      <c r="K27" s="73"/>
    </row>
    <row r="28" spans="2:11" x14ac:dyDescent="0.25">
      <c r="B28" s="7" t="s">
        <v>143</v>
      </c>
      <c r="C28" s="36">
        <f>IF(C27="N.A.","N.A.",(C27*((D21+D22)/2)))</f>
        <v>0</v>
      </c>
      <c r="D28" s="84" t="str">
        <f>IF(C27="N.A."," ",IF(C28&lt;=(1.5*C27*(MIN(D21,D22))),"OK","ERROR - This area exceeds 1.5*b*Lb1"))</f>
        <v>OK</v>
      </c>
      <c r="G28" s="73"/>
      <c r="H28" s="73"/>
      <c r="I28" s="73"/>
      <c r="J28" s="73"/>
      <c r="K28" s="73"/>
    </row>
    <row r="29" spans="2:11" ht="15.75" x14ac:dyDescent="0.25">
      <c r="B29" s="7" t="s">
        <v>144</v>
      </c>
      <c r="C29" s="68">
        <f>D23*D22</f>
        <v>0</v>
      </c>
      <c r="G29" s="73"/>
      <c r="H29" s="73"/>
      <c r="I29" s="73"/>
      <c r="J29" s="73"/>
      <c r="K29" s="73"/>
    </row>
    <row r="30" spans="2:11" x14ac:dyDescent="0.25">
      <c r="G30" s="73"/>
      <c r="H30" s="73"/>
      <c r="I30" s="73"/>
      <c r="J30" s="73"/>
      <c r="K30" s="73"/>
    </row>
    <row r="33" spans="2:13" x14ac:dyDescent="0.25">
      <c r="J33" s="25"/>
      <c r="K33" s="25"/>
      <c r="L33" s="25"/>
      <c r="M33" s="25"/>
    </row>
    <row r="34" spans="2:13" ht="15.75" x14ac:dyDescent="0.25">
      <c r="B34" s="39" t="s">
        <v>48</v>
      </c>
      <c r="J34" s="25"/>
      <c r="K34" s="25"/>
      <c r="L34" s="25"/>
      <c r="M34" s="25"/>
    </row>
    <row r="35" spans="2:13" ht="17.25" x14ac:dyDescent="0.35">
      <c r="B35" s="22" t="s">
        <v>75</v>
      </c>
      <c r="J35" s="26"/>
      <c r="K35" s="24"/>
      <c r="L35" s="27"/>
      <c r="M35" s="26"/>
    </row>
    <row r="36" spans="2:13" ht="18" thickBot="1" x14ac:dyDescent="0.4">
      <c r="B36" s="8" t="s">
        <v>73</v>
      </c>
      <c r="F36" s="8" t="s">
        <v>74</v>
      </c>
      <c r="J36" s="26"/>
      <c r="K36" s="24"/>
      <c r="L36" s="27"/>
      <c r="M36" s="26"/>
    </row>
    <row r="37" spans="2:13" ht="18" thickTop="1" x14ac:dyDescent="0.35">
      <c r="C37" s="7" t="s">
        <v>49</v>
      </c>
      <c r="D37" s="45">
        <v>0</v>
      </c>
      <c r="E37" s="8" t="s">
        <v>50</v>
      </c>
      <c r="F37" s="7" t="s">
        <v>128</v>
      </c>
      <c r="G37" s="71">
        <v>0</v>
      </c>
      <c r="H37" s="8" t="s">
        <v>50</v>
      </c>
      <c r="J37" s="26"/>
      <c r="K37" s="24"/>
      <c r="L37" s="27"/>
      <c r="M37" s="26"/>
    </row>
    <row r="38" spans="2:13" ht="17.25" x14ac:dyDescent="0.35">
      <c r="C38" s="7" t="s">
        <v>51</v>
      </c>
      <c r="D38" s="46">
        <v>0</v>
      </c>
      <c r="E38" s="8" t="s">
        <v>50</v>
      </c>
      <c r="F38" s="7" t="s">
        <v>129</v>
      </c>
      <c r="G38" s="72">
        <v>0</v>
      </c>
      <c r="H38" s="8" t="s">
        <v>50</v>
      </c>
      <c r="J38" s="26"/>
      <c r="K38" s="24"/>
      <c r="L38" s="27"/>
      <c r="M38" s="26"/>
    </row>
    <row r="39" spans="2:13" ht="18" thickBot="1" x14ac:dyDescent="0.4">
      <c r="C39" s="7" t="s">
        <v>52</v>
      </c>
      <c r="D39" s="46">
        <v>0</v>
      </c>
      <c r="E39" s="8" t="s">
        <v>50</v>
      </c>
      <c r="F39" s="23" t="s">
        <v>101</v>
      </c>
      <c r="G39" s="60" t="s">
        <v>136</v>
      </c>
      <c r="H39" s="85" t="s">
        <v>167</v>
      </c>
      <c r="J39" s="26"/>
      <c r="K39" s="24"/>
      <c r="L39" s="27"/>
      <c r="M39" s="26"/>
    </row>
    <row r="40" spans="2:13" ht="18" thickTop="1" x14ac:dyDescent="0.35">
      <c r="C40" s="7" t="s">
        <v>53</v>
      </c>
      <c r="D40" s="46">
        <v>0</v>
      </c>
      <c r="E40" s="8" t="s">
        <v>50</v>
      </c>
      <c r="J40" s="26"/>
      <c r="K40" s="24"/>
      <c r="L40" s="27"/>
      <c r="M40" s="26"/>
    </row>
    <row r="41" spans="2:13" ht="18" thickBot="1" x14ac:dyDescent="0.4">
      <c r="C41" s="35" t="s">
        <v>102</v>
      </c>
      <c r="D41" s="47">
        <v>0</v>
      </c>
      <c r="E41" s="8" t="s">
        <v>50</v>
      </c>
      <c r="F41" s="74" t="s">
        <v>152</v>
      </c>
      <c r="J41" s="26"/>
      <c r="K41" s="24"/>
      <c r="L41" s="27"/>
      <c r="M41" s="26"/>
    </row>
    <row r="42" spans="2:13" ht="18" thickTop="1" x14ac:dyDescent="0.35">
      <c r="G42" s="74" t="s">
        <v>153</v>
      </c>
      <c r="J42" s="26"/>
      <c r="K42" s="24"/>
      <c r="L42" s="27"/>
      <c r="M42" s="26"/>
    </row>
    <row r="43" spans="2:13" ht="17.25" x14ac:dyDescent="0.35">
      <c r="G43" s="74" t="s">
        <v>154</v>
      </c>
      <c r="M43" s="26"/>
    </row>
    <row r="44" spans="2:13" ht="17.25" x14ac:dyDescent="0.35">
      <c r="M44" s="26"/>
    </row>
    <row r="45" spans="2:13" ht="20.25" thickBot="1" x14ac:dyDescent="0.4">
      <c r="B45" s="9" t="s">
        <v>54</v>
      </c>
      <c r="C45" s="10"/>
      <c r="D45" s="10"/>
      <c r="E45" s="10"/>
      <c r="F45" s="10"/>
      <c r="G45" s="10"/>
      <c r="M45" s="26"/>
    </row>
    <row r="46" spans="2:13" ht="18" thickTop="1" x14ac:dyDescent="0.35">
      <c r="M46" s="26"/>
    </row>
    <row r="47" spans="2:13" ht="19.5" x14ac:dyDescent="0.35">
      <c r="B47" s="78" t="str">
        <f>A104</f>
        <v>Qr</v>
      </c>
      <c r="C47" s="76" t="s">
        <v>115</v>
      </c>
      <c r="D47" s="89" t="e">
        <f ca="1">IF(AND(G37=0,G38=0),C122,C136)</f>
        <v>#DIV/0!</v>
      </c>
      <c r="E47" s="89"/>
      <c r="F47" s="77" t="s">
        <v>50</v>
      </c>
      <c r="G47" s="61" t="e">
        <f ca="1">IF(AND(G37=0,G38=0),G122,G136)</f>
        <v>#DIV/0!</v>
      </c>
      <c r="M47" s="26"/>
    </row>
    <row r="48" spans="2:13" ht="19.5" x14ac:dyDescent="0.35">
      <c r="B48" s="78" t="s">
        <v>139</v>
      </c>
      <c r="C48" s="76" t="s">
        <v>115</v>
      </c>
      <c r="D48" s="89" t="str">
        <f>IF(AND(G37=0,G38=0),C123,C137)</f>
        <v>N.A. - No Squeezing Effect</v>
      </c>
      <c r="E48" s="89"/>
      <c r="F48" s="77" t="s">
        <v>50</v>
      </c>
      <c r="G48" s="61" t="str">
        <f>IF(AND(G37=0,G38=0),G123,G137)</f>
        <v>N.A. - No Squeezing Effect</v>
      </c>
      <c r="M48" s="26"/>
    </row>
    <row r="49" spans="2:13" ht="17.25" x14ac:dyDescent="0.35">
      <c r="M49" s="26"/>
    </row>
    <row r="50" spans="2:13" ht="17.25" x14ac:dyDescent="0.35">
      <c r="M50" s="26"/>
    </row>
    <row r="51" spans="2:13" ht="17.25" x14ac:dyDescent="0.35">
      <c r="M51" s="26"/>
    </row>
    <row r="52" spans="2:13" ht="17.25" x14ac:dyDescent="0.35">
      <c r="M52" s="26"/>
    </row>
    <row r="53" spans="2:13" ht="17.25" x14ac:dyDescent="0.35">
      <c r="M53" s="26"/>
    </row>
    <row r="54" spans="2:13" ht="17.25" x14ac:dyDescent="0.35">
      <c r="M54" s="26"/>
    </row>
    <row r="55" spans="2:13" ht="17.25" x14ac:dyDescent="0.35">
      <c r="M55" s="26"/>
    </row>
    <row r="56" spans="2:13" ht="17.25" x14ac:dyDescent="0.35">
      <c r="M56" s="28"/>
    </row>
    <row r="57" spans="2:13" x14ac:dyDescent="0.25">
      <c r="M57" s="31"/>
    </row>
    <row r="58" spans="2:13" x14ac:dyDescent="0.25">
      <c r="M58" s="25"/>
    </row>
    <row r="59" spans="2:13" x14ac:dyDescent="0.25">
      <c r="M59" s="25"/>
    </row>
    <row r="60" spans="2:13" x14ac:dyDescent="0.25">
      <c r="M60" s="25"/>
    </row>
    <row r="62" spans="2:13" ht="20.25" thickBot="1" x14ac:dyDescent="0.4">
      <c r="B62" s="19" t="s">
        <v>66</v>
      </c>
      <c r="C62" s="20"/>
      <c r="D62" s="20"/>
      <c r="E62" s="20"/>
      <c r="F62" s="20"/>
      <c r="G62" s="20"/>
      <c r="J62" s="26"/>
      <c r="K62" s="24"/>
      <c r="L62" s="27"/>
    </row>
    <row r="63" spans="2:13" ht="18" thickTop="1" x14ac:dyDescent="0.35">
      <c r="J63" s="26"/>
      <c r="K63" s="24"/>
      <c r="L63" s="27"/>
    </row>
    <row r="64" spans="2:13" ht="17.25" x14ac:dyDescent="0.35">
      <c r="B64" s="40" t="s">
        <v>67</v>
      </c>
      <c r="F64" s="7"/>
      <c r="J64" s="26"/>
      <c r="K64" s="24"/>
      <c r="L64" s="27"/>
    </row>
    <row r="65" spans="2:12" ht="17.25" x14ac:dyDescent="0.35">
      <c r="F65" s="23" t="s">
        <v>101</v>
      </c>
      <c r="H65" s="34" t="s">
        <v>107</v>
      </c>
      <c r="J65" s="26"/>
      <c r="K65" s="24"/>
      <c r="L65" s="27"/>
    </row>
    <row r="66" spans="2:12" ht="17.25" x14ac:dyDescent="0.35">
      <c r="B66" s="8" t="s">
        <v>76</v>
      </c>
      <c r="C66" s="32" t="s">
        <v>77</v>
      </c>
      <c r="D66" s="32"/>
      <c r="E66" s="32"/>
      <c r="F66" s="36">
        <v>0.65</v>
      </c>
      <c r="G66" s="33"/>
      <c r="H66" s="36">
        <f>1.4*D37</f>
        <v>0</v>
      </c>
      <c r="J66" s="26"/>
      <c r="K66" s="24"/>
      <c r="L66" s="27"/>
    </row>
    <row r="67" spans="2:12" ht="17.25" x14ac:dyDescent="0.35">
      <c r="B67" s="8"/>
      <c r="C67" s="32"/>
      <c r="D67" s="32"/>
      <c r="E67" s="32"/>
      <c r="F67" s="36"/>
      <c r="G67" s="33"/>
      <c r="H67" s="36"/>
      <c r="J67" s="26"/>
      <c r="K67" s="24"/>
      <c r="L67" s="27"/>
    </row>
    <row r="68" spans="2:12" ht="17.25" x14ac:dyDescent="0.35">
      <c r="B68" s="8" t="s">
        <v>78</v>
      </c>
      <c r="C68" s="32" t="s">
        <v>79</v>
      </c>
      <c r="D68" s="32"/>
      <c r="E68" s="32"/>
      <c r="F68" s="36">
        <v>1</v>
      </c>
      <c r="G68" s="33"/>
      <c r="H68" s="36">
        <f>(1.25*D37)+(1.5*D38)</f>
        <v>0</v>
      </c>
      <c r="J68" s="26"/>
      <c r="K68" s="24"/>
      <c r="L68" s="27"/>
    </row>
    <row r="69" spans="2:12" ht="17.25" x14ac:dyDescent="0.35">
      <c r="B69" s="8"/>
      <c r="C69" s="32" t="s">
        <v>80</v>
      </c>
      <c r="D69" s="32"/>
      <c r="E69" s="32"/>
      <c r="F69" s="36">
        <v>1</v>
      </c>
      <c r="G69" s="33"/>
      <c r="H69" s="36">
        <f>(1.25*D37)+(1.5*D38)+(0.5*D40)</f>
        <v>0</v>
      </c>
      <c r="J69" s="26"/>
      <c r="K69" s="24"/>
      <c r="L69" s="27"/>
    </row>
    <row r="70" spans="2:12" ht="17.25" x14ac:dyDescent="0.35">
      <c r="B70" s="8"/>
      <c r="C70" s="32" t="s">
        <v>81</v>
      </c>
      <c r="D70" s="32"/>
      <c r="E70" s="32"/>
      <c r="F70" s="36">
        <v>1.1499999999999999</v>
      </c>
      <c r="G70" s="33"/>
      <c r="H70" s="36">
        <f>(1.25*D37)+(1.5*D38)+(0.4*D39)</f>
        <v>0</v>
      </c>
      <c r="J70" s="26"/>
      <c r="K70" s="24"/>
      <c r="L70" s="27"/>
    </row>
    <row r="71" spans="2:12" ht="17.25" x14ac:dyDescent="0.35">
      <c r="B71" s="8"/>
      <c r="C71" s="32" t="s">
        <v>83</v>
      </c>
      <c r="D71" s="32"/>
      <c r="E71" s="32"/>
      <c r="F71" s="36">
        <v>1</v>
      </c>
      <c r="G71" s="33"/>
      <c r="H71" s="36">
        <f>(0.9*D37)+(1.5*D38)</f>
        <v>0</v>
      </c>
      <c r="J71" s="26"/>
      <c r="K71" s="24"/>
      <c r="L71" s="27"/>
    </row>
    <row r="72" spans="2:12" ht="17.25" x14ac:dyDescent="0.35">
      <c r="B72" s="8"/>
      <c r="C72" s="32" t="s">
        <v>84</v>
      </c>
      <c r="D72" s="32"/>
      <c r="E72" s="32"/>
      <c r="F72" s="36">
        <v>1</v>
      </c>
      <c r="G72" s="33"/>
      <c r="H72" s="36">
        <f>(0.9*D37)+(1.5*D38)+(0.5*D40)</f>
        <v>0</v>
      </c>
      <c r="J72" s="26"/>
      <c r="K72" s="24"/>
      <c r="L72" s="27"/>
    </row>
    <row r="73" spans="2:12" ht="17.25" x14ac:dyDescent="0.35">
      <c r="B73" s="8"/>
      <c r="C73" s="32" t="s">
        <v>85</v>
      </c>
      <c r="D73" s="32"/>
      <c r="E73" s="32"/>
      <c r="F73" s="36">
        <v>1.1499999999999999</v>
      </c>
      <c r="G73" s="33"/>
      <c r="H73" s="36">
        <f>(0.9*D37)+(1.5*D38)+(0.4*D39)</f>
        <v>0</v>
      </c>
      <c r="J73" s="26"/>
      <c r="K73" s="24"/>
      <c r="L73" s="27"/>
    </row>
    <row r="74" spans="2:12" ht="17.25" x14ac:dyDescent="0.35">
      <c r="B74" s="8"/>
      <c r="C74" s="32"/>
      <c r="D74" s="32"/>
      <c r="E74" s="32"/>
      <c r="F74" s="36"/>
      <c r="G74" s="33"/>
      <c r="H74" s="36"/>
      <c r="J74" s="26"/>
      <c r="K74" s="24"/>
      <c r="L74" s="27"/>
    </row>
    <row r="75" spans="2:12" ht="17.25" x14ac:dyDescent="0.35">
      <c r="B75" s="8" t="s">
        <v>82</v>
      </c>
      <c r="C75" s="32" t="s">
        <v>86</v>
      </c>
      <c r="D75" s="32"/>
      <c r="E75" s="32"/>
      <c r="F75" s="36">
        <v>1</v>
      </c>
      <c r="G75" s="33"/>
      <c r="H75" s="36">
        <f>(1.25*D37)+(1.5*D40)</f>
        <v>0</v>
      </c>
      <c r="J75" s="28"/>
      <c r="K75" s="29"/>
      <c r="L75" s="30"/>
    </row>
    <row r="76" spans="2:12" x14ac:dyDescent="0.25">
      <c r="B76" s="8"/>
      <c r="C76" s="32" t="s">
        <v>87</v>
      </c>
      <c r="D76" s="32"/>
      <c r="E76" s="32"/>
      <c r="F76" s="36">
        <v>1</v>
      </c>
      <c r="G76" s="33"/>
      <c r="H76" s="36">
        <f>(1.25*D37)+(1.5*D40)+(0.5*D38)</f>
        <v>0</v>
      </c>
      <c r="J76" s="31"/>
      <c r="K76" s="31"/>
      <c r="L76" s="31"/>
    </row>
    <row r="77" spans="2:12" x14ac:dyDescent="0.25">
      <c r="B77" s="8"/>
      <c r="C77" s="32" t="s">
        <v>88</v>
      </c>
      <c r="D77" s="32"/>
      <c r="E77" s="32"/>
      <c r="F77" s="36">
        <v>1.1499999999999999</v>
      </c>
      <c r="G77" s="33"/>
      <c r="H77" s="36">
        <f>(1.25*D37)+(1.5*D40)+(0.4*D39)</f>
        <v>0</v>
      </c>
      <c r="J77" s="25"/>
      <c r="K77" s="25"/>
      <c r="L77" s="25"/>
    </row>
    <row r="78" spans="2:12" x14ac:dyDescent="0.25">
      <c r="B78" s="8"/>
      <c r="C78" s="32" t="s">
        <v>89</v>
      </c>
      <c r="D78" s="32"/>
      <c r="E78" s="32"/>
      <c r="F78" s="36">
        <v>1</v>
      </c>
      <c r="G78" s="33"/>
      <c r="H78" s="36">
        <f>(0.9*D37)+(1.5*D40)</f>
        <v>0</v>
      </c>
      <c r="J78" s="25"/>
      <c r="K78" s="25"/>
      <c r="L78" s="25"/>
    </row>
    <row r="79" spans="2:12" x14ac:dyDescent="0.25">
      <c r="B79" s="8"/>
      <c r="C79" s="32" t="s">
        <v>90</v>
      </c>
      <c r="D79" s="32"/>
      <c r="E79" s="32"/>
      <c r="F79" s="36">
        <v>1</v>
      </c>
      <c r="G79" s="33"/>
      <c r="H79" s="36">
        <f>(0.9*D37)+(1.5*D40)+(0.5*D38)</f>
        <v>0</v>
      </c>
      <c r="J79" s="25"/>
      <c r="K79" s="25"/>
      <c r="L79" s="25"/>
    </row>
    <row r="80" spans="2:12" x14ac:dyDescent="0.25">
      <c r="B80" s="8"/>
      <c r="C80" s="32" t="s">
        <v>91</v>
      </c>
      <c r="D80" s="32"/>
      <c r="E80" s="32"/>
      <c r="F80" s="36">
        <v>1.1499999999999999</v>
      </c>
      <c r="G80" s="33"/>
      <c r="H80" s="36">
        <f>(1.25*D37)+(1.5*D40)+(0.4*D39)</f>
        <v>0</v>
      </c>
    </row>
    <row r="81" spans="1:8" x14ac:dyDescent="0.25">
      <c r="B81" s="8"/>
      <c r="C81" s="32"/>
      <c r="D81" s="32"/>
      <c r="E81" s="32"/>
      <c r="F81" s="36"/>
      <c r="G81" s="33"/>
      <c r="H81" s="36"/>
    </row>
    <row r="82" spans="1:8" x14ac:dyDescent="0.25">
      <c r="B82" s="8" t="s">
        <v>92</v>
      </c>
      <c r="C82" s="32" t="s">
        <v>93</v>
      </c>
      <c r="D82" s="32"/>
      <c r="E82" s="32"/>
      <c r="F82" s="36">
        <v>1.1499999999999999</v>
      </c>
      <c r="G82" s="33"/>
      <c r="H82" s="36">
        <f>(1.25*D37)+(1.4*D39)</f>
        <v>0</v>
      </c>
    </row>
    <row r="83" spans="1:8" x14ac:dyDescent="0.25">
      <c r="B83" s="8"/>
      <c r="C83" s="32" t="s">
        <v>94</v>
      </c>
      <c r="D83" s="32"/>
      <c r="E83" s="32"/>
      <c r="F83" s="36">
        <v>1.1499999999999999</v>
      </c>
      <c r="G83" s="33"/>
      <c r="H83" s="36">
        <f>(1.25*D37)+(1.4*D39)+(0.5*D40)</f>
        <v>0</v>
      </c>
    </row>
    <row r="84" spans="1:8" x14ac:dyDescent="0.25">
      <c r="B84" s="8"/>
      <c r="C84" s="32" t="s">
        <v>95</v>
      </c>
      <c r="D84" s="32"/>
      <c r="E84" s="32"/>
      <c r="F84" s="36">
        <v>1.1499999999999999</v>
      </c>
      <c r="G84" s="33"/>
      <c r="H84" s="36">
        <f>(1.25*D37)+(1.4*D39)+(0.5*D38)</f>
        <v>0</v>
      </c>
    </row>
    <row r="85" spans="1:8" x14ac:dyDescent="0.25">
      <c r="B85" s="8"/>
      <c r="C85" s="32" t="s">
        <v>96</v>
      </c>
      <c r="D85" s="32"/>
      <c r="E85" s="32"/>
      <c r="F85" s="36">
        <v>1.1499999999999999</v>
      </c>
      <c r="G85" s="33"/>
      <c r="H85" s="36">
        <f>(0.9*D37)+(1.4*D39)</f>
        <v>0</v>
      </c>
    </row>
    <row r="86" spans="1:8" x14ac:dyDescent="0.25">
      <c r="B86" s="8"/>
      <c r="C86" s="32" t="s">
        <v>97</v>
      </c>
      <c r="D86" s="32"/>
      <c r="E86" s="32"/>
      <c r="F86" s="36">
        <v>1.1499999999999999</v>
      </c>
      <c r="G86" s="33"/>
      <c r="H86" s="36">
        <f>(0.9*D37)+(1.4*D39)+(0.5*D40)</f>
        <v>0</v>
      </c>
    </row>
    <row r="87" spans="1:8" x14ac:dyDescent="0.25">
      <c r="B87" s="8"/>
      <c r="C87" s="32" t="s">
        <v>98</v>
      </c>
      <c r="D87" s="32"/>
      <c r="E87" s="32"/>
      <c r="F87" s="36">
        <v>1.1499999999999999</v>
      </c>
      <c r="G87" s="33"/>
      <c r="H87" s="36">
        <f>(0.9*D37)+(1.4*D39)+(0.5*D38)</f>
        <v>0</v>
      </c>
    </row>
    <row r="88" spans="1:8" x14ac:dyDescent="0.25">
      <c r="B88" s="8"/>
      <c r="C88" s="32"/>
      <c r="D88" s="32"/>
      <c r="E88" s="32"/>
      <c r="F88" s="36"/>
      <c r="G88" s="33"/>
      <c r="H88" s="36"/>
    </row>
    <row r="89" spans="1:8" x14ac:dyDescent="0.25">
      <c r="B89" s="8" t="s">
        <v>99</v>
      </c>
      <c r="C89" s="32" t="s">
        <v>100</v>
      </c>
      <c r="D89" s="32"/>
      <c r="E89" s="32"/>
      <c r="F89" s="36">
        <v>1</v>
      </c>
      <c r="G89" s="33"/>
      <c r="H89" s="36">
        <f>D37 + D41 +(0.5*D38)+(0.25*D40)</f>
        <v>0</v>
      </c>
    </row>
    <row r="94" spans="1:8" x14ac:dyDescent="0.25">
      <c r="A94" s="40" t="s">
        <v>137</v>
      </c>
    </row>
    <row r="95" spans="1:8" x14ac:dyDescent="0.25">
      <c r="A95" s="8" t="s">
        <v>103</v>
      </c>
    </row>
    <row r="96" spans="1:8" ht="15.75" x14ac:dyDescent="0.25">
      <c r="B96" s="7" t="s">
        <v>106</v>
      </c>
      <c r="C96" s="37">
        <f>H66</f>
        <v>0</v>
      </c>
      <c r="D96" s="32" t="s">
        <v>50</v>
      </c>
    </row>
    <row r="97" spans="1:10" x14ac:dyDescent="0.25">
      <c r="A97" s="8" t="s">
        <v>105</v>
      </c>
      <c r="C97" s="36"/>
    </row>
    <row r="98" spans="1:10" ht="15.75" x14ac:dyDescent="0.25">
      <c r="B98" s="7" t="s">
        <v>106</v>
      </c>
      <c r="C98" s="37">
        <f>MAX(H68:H69,H71:H72,H75:H76,H78:H79,H89)</f>
        <v>0</v>
      </c>
      <c r="D98" s="32" t="s">
        <v>50</v>
      </c>
    </row>
    <row r="99" spans="1:10" x14ac:dyDescent="0.25">
      <c r="A99" s="8" t="s">
        <v>104</v>
      </c>
      <c r="C99" s="36"/>
    </row>
    <row r="100" spans="1:10" ht="15.75" x14ac:dyDescent="0.25">
      <c r="B100" s="7" t="s">
        <v>106</v>
      </c>
      <c r="C100" s="37">
        <f>MAX(H82:H87,H80,H77,H73,H70)</f>
        <v>0</v>
      </c>
      <c r="D100" s="32" t="s">
        <v>50</v>
      </c>
    </row>
    <row r="101" spans="1:10" ht="15.75" x14ac:dyDescent="0.25">
      <c r="A101" s="61" t="s">
        <v>138</v>
      </c>
      <c r="D101" s="67"/>
    </row>
    <row r="102" spans="1:10" x14ac:dyDescent="0.25">
      <c r="A102" s="40" t="s">
        <v>108</v>
      </c>
    </row>
    <row r="103" spans="1:10" x14ac:dyDescent="0.25">
      <c r="A103" s="8" t="s">
        <v>103</v>
      </c>
      <c r="G103" s="8" t="s">
        <v>103</v>
      </c>
    </row>
    <row r="104" spans="1:10" ht="15.75" x14ac:dyDescent="0.25">
      <c r="A104" s="7" t="s">
        <v>140</v>
      </c>
      <c r="B104" t="s">
        <v>115</v>
      </c>
      <c r="C104" s="54" t="e">
        <f ca="1">((0.8*I10*0.65*I11*I12*C29*I13*I14)*10^(-3))</f>
        <v>#DIV/0!</v>
      </c>
      <c r="D104" s="8" t="s">
        <v>50</v>
      </c>
      <c r="G104" s="7" t="s">
        <v>139</v>
      </c>
      <c r="H104" t="s">
        <v>115</v>
      </c>
      <c r="I104" s="52" t="str">
        <f>IF(D19&lt;D18,(((2*0.8*I10*0.65*I11*I12*C28*I13*I14)/3)*10^(-3)),"n.a.")</f>
        <v>n.a.</v>
      </c>
      <c r="J104" s="8" t="s">
        <v>50</v>
      </c>
    </row>
    <row r="105" spans="1:10" ht="15.75" x14ac:dyDescent="0.25">
      <c r="C105" s="55"/>
      <c r="D105" s="8"/>
    </row>
    <row r="106" spans="1:10" ht="15.75" x14ac:dyDescent="0.25">
      <c r="A106" s="8" t="s">
        <v>105</v>
      </c>
      <c r="C106" s="55"/>
      <c r="D106" s="8"/>
      <c r="G106" s="8" t="s">
        <v>105</v>
      </c>
    </row>
    <row r="107" spans="1:10" ht="15.75" x14ac:dyDescent="0.25">
      <c r="A107" s="7" t="s">
        <v>140</v>
      </c>
      <c r="B107" t="s">
        <v>115</v>
      </c>
      <c r="C107" s="54" t="e">
        <f ca="1">((0.8*I10*1*I11*I12*C29*I13*I14)*10^(-3))</f>
        <v>#DIV/0!</v>
      </c>
      <c r="D107" s="8" t="s">
        <v>50</v>
      </c>
      <c r="G107" s="7" t="s">
        <v>139</v>
      </c>
      <c r="H107" t="s">
        <v>115</v>
      </c>
      <c r="I107" s="52" t="str">
        <f>IF(D19&lt;D18,(((2*0.8*I10*1*I11*I12*C28*I13*I14)/3)*10^(-3)),"n.a.")</f>
        <v>n.a.</v>
      </c>
      <c r="J107" s="8" t="s">
        <v>50</v>
      </c>
    </row>
    <row r="108" spans="1:10" ht="15.75" x14ac:dyDescent="0.25">
      <c r="C108" s="55"/>
      <c r="D108" s="8"/>
    </row>
    <row r="109" spans="1:10" ht="15.75" x14ac:dyDescent="0.25">
      <c r="A109" s="8" t="s">
        <v>104</v>
      </c>
      <c r="C109" s="55"/>
      <c r="D109" s="8"/>
      <c r="G109" s="8" t="s">
        <v>104</v>
      </c>
    </row>
    <row r="110" spans="1:10" ht="15.75" x14ac:dyDescent="0.25">
      <c r="A110" s="7" t="s">
        <v>140</v>
      </c>
      <c r="B110" t="s">
        <v>115</v>
      </c>
      <c r="C110" s="54" t="e">
        <f ca="1">((0.8*I10*1.15*I11*I12*C29*I13*I14)*10^(-3))</f>
        <v>#DIV/0!</v>
      </c>
      <c r="D110" s="8" t="s">
        <v>50</v>
      </c>
      <c r="G110" s="7" t="s">
        <v>139</v>
      </c>
      <c r="H110" t="s">
        <v>115</v>
      </c>
      <c r="I110" s="52" t="str">
        <f>IF(D19&lt;D18,(((2*0.8*I10*1.15*I11*I12*C28*I13*I14)/3)*10^(-3)),"n.a.")</f>
        <v>n.a.</v>
      </c>
      <c r="J110" s="8" t="s">
        <v>50</v>
      </c>
    </row>
    <row r="112" spans="1:10" x14ac:dyDescent="0.25">
      <c r="A112" s="40" t="s">
        <v>117</v>
      </c>
    </row>
    <row r="113" spans="1:8" x14ac:dyDescent="0.25">
      <c r="A113" s="8" t="s">
        <v>103</v>
      </c>
    </row>
    <row r="114" spans="1:8" ht="23.25" x14ac:dyDescent="0.35">
      <c r="B114" s="59" t="s">
        <v>118</v>
      </c>
      <c r="C114" s="57" t="s">
        <v>140</v>
      </c>
      <c r="D114" s="41" t="s">
        <v>119</v>
      </c>
      <c r="E114" s="52">
        <f>C96</f>
        <v>0</v>
      </c>
      <c r="F114" s="42" t="s">
        <v>120</v>
      </c>
      <c r="G114" s="66" t="e">
        <f ca="1">C104</f>
        <v>#DIV/0!</v>
      </c>
      <c r="H114" s="8" t="e">
        <f ca="1">IF(E114&lt;=G114,"OK","Section Not Sufficient")</f>
        <v>#DIV/0!</v>
      </c>
    </row>
    <row r="115" spans="1:8" ht="23.25" x14ac:dyDescent="0.35">
      <c r="A115" s="8"/>
      <c r="B115" s="59" t="s">
        <v>118</v>
      </c>
      <c r="C115" s="58" t="s">
        <v>139</v>
      </c>
      <c r="D115" s="41" t="s">
        <v>119</v>
      </c>
      <c r="E115" s="52">
        <f>E114</f>
        <v>0</v>
      </c>
      <c r="F115" s="42" t="s">
        <v>120</v>
      </c>
      <c r="G115" s="66" t="str">
        <f>I104</f>
        <v>n.a.</v>
      </c>
      <c r="H115" s="8" t="str">
        <f>IF(G115="n.a.","N.A.",IF(E115&lt;=G115,"OK","Section Not Sufficient"))</f>
        <v>N.A.</v>
      </c>
    </row>
    <row r="116" spans="1:8" ht="15.75" x14ac:dyDescent="0.25">
      <c r="A116" s="8" t="s">
        <v>105</v>
      </c>
      <c r="E116" s="52"/>
      <c r="F116" s="42"/>
      <c r="G116" s="66"/>
      <c r="H116" s="8"/>
    </row>
    <row r="117" spans="1:8" ht="23.25" x14ac:dyDescent="0.35">
      <c r="B117" s="59" t="s">
        <v>118</v>
      </c>
      <c r="C117" s="57" t="s">
        <v>140</v>
      </c>
      <c r="D117" s="41" t="s">
        <v>119</v>
      </c>
      <c r="E117" s="52">
        <f>C98</f>
        <v>0</v>
      </c>
      <c r="F117" s="42" t="s">
        <v>120</v>
      </c>
      <c r="G117" s="66" t="e">
        <f ca="1">C107</f>
        <v>#DIV/0!</v>
      </c>
      <c r="H117" s="8" t="e">
        <f ca="1">IF(E117&lt;=G117,"OK","Section Not Sufficient")</f>
        <v>#DIV/0!</v>
      </c>
    </row>
    <row r="118" spans="1:8" ht="23.25" x14ac:dyDescent="0.35">
      <c r="B118" s="59" t="s">
        <v>118</v>
      </c>
      <c r="C118" s="58" t="s">
        <v>139</v>
      </c>
      <c r="D118" s="41" t="s">
        <v>119</v>
      </c>
      <c r="E118" s="52">
        <f>E117</f>
        <v>0</v>
      </c>
      <c r="F118" s="42" t="s">
        <v>120</v>
      </c>
      <c r="G118" s="66" t="str">
        <f>I107</f>
        <v>n.a.</v>
      </c>
      <c r="H118" s="8" t="str">
        <f>IF(G118="n.a.","N.A.",IF(E118&lt;=G118,"OK","Section Not Sufficient"))</f>
        <v>N.A.</v>
      </c>
    </row>
    <row r="119" spans="1:8" ht="15.75" x14ac:dyDescent="0.25">
      <c r="A119" s="8" t="s">
        <v>104</v>
      </c>
      <c r="C119" s="57"/>
      <c r="E119" s="52"/>
      <c r="F119" s="42"/>
      <c r="G119" s="66"/>
      <c r="H119" s="8"/>
    </row>
    <row r="120" spans="1:8" ht="23.25" x14ac:dyDescent="0.35">
      <c r="B120" s="59" t="s">
        <v>118</v>
      </c>
      <c r="C120" s="57" t="s">
        <v>140</v>
      </c>
      <c r="D120" s="41" t="s">
        <v>119</v>
      </c>
      <c r="E120" s="52">
        <f>C100</f>
        <v>0</v>
      </c>
      <c r="F120" s="42" t="s">
        <v>120</v>
      </c>
      <c r="G120" s="66" t="e">
        <f ca="1">C110</f>
        <v>#DIV/0!</v>
      </c>
      <c r="H120" s="8" t="e">
        <f ca="1">IF(E120&lt;=G120,"OK","Section Not Sufficient")</f>
        <v>#DIV/0!</v>
      </c>
    </row>
    <row r="121" spans="1:8" ht="23.25" x14ac:dyDescent="0.35">
      <c r="B121" s="59" t="s">
        <v>118</v>
      </c>
      <c r="C121" s="58" t="s">
        <v>139</v>
      </c>
      <c r="D121" s="41" t="s">
        <v>119</v>
      </c>
      <c r="E121" s="52">
        <f>E120</f>
        <v>0</v>
      </c>
      <c r="F121" s="42" t="s">
        <v>120</v>
      </c>
      <c r="G121" s="2" t="str">
        <f>I110</f>
        <v>n.a.</v>
      </c>
      <c r="H121" s="8" t="str">
        <f>IF(G121="n.a.","N.A.",IF(E121&lt;=G121,"OK","Section Not Sufficient"))</f>
        <v>N.A.</v>
      </c>
    </row>
    <row r="122" spans="1:8" ht="18.75" x14ac:dyDescent="0.3">
      <c r="A122" s="8"/>
      <c r="B122" s="75" t="s">
        <v>145</v>
      </c>
      <c r="C122" s="89" t="e">
        <f ca="1">MIN(G114,G117,G120)</f>
        <v>#DIV/0!</v>
      </c>
      <c r="D122" s="90"/>
      <c r="E122" s="90"/>
      <c r="F122" s="6" t="s">
        <v>50</v>
      </c>
      <c r="G122" s="61" t="e">
        <f ca="1">IF(AND(H114="OK",H117="OK",H120="OK"),"Section is Adequate","Section is NOT Adequate")</f>
        <v>#DIV/0!</v>
      </c>
    </row>
    <row r="123" spans="1:8" ht="18.75" x14ac:dyDescent="0.3">
      <c r="B123" s="75" t="s">
        <v>146</v>
      </c>
      <c r="C123" s="89" t="str">
        <f>IF(AND(H115="N.A.",H118="N.A.",H121="N.A."),"N.A. - No Squeezing Effect",MIN(G115,G118,G121))</f>
        <v>N.A. - No Squeezing Effect</v>
      </c>
      <c r="D123" s="89"/>
      <c r="E123" s="89"/>
      <c r="F123" s="6" t="s">
        <v>50</v>
      </c>
      <c r="G123" s="61" t="str">
        <f>IF(AND(H115="N.A.",H118="N.A.",H121="N.A."),"N.A. - No Squeezing Effect",IF(AND(H115="OK",H118="OK",H121="OK"),"Section is Adequate","Section is NOT Adequate"))</f>
        <v>N.A. - No Squeezing Effect</v>
      </c>
    </row>
    <row r="125" spans="1:8" x14ac:dyDescent="0.25">
      <c r="A125" s="61" t="s">
        <v>163</v>
      </c>
    </row>
    <row r="126" spans="1:8" x14ac:dyDescent="0.25">
      <c r="A126" s="40" t="s">
        <v>108</v>
      </c>
    </row>
    <row r="127" spans="1:8" ht="15.75" x14ac:dyDescent="0.25">
      <c r="A127" s="7" t="s">
        <v>147</v>
      </c>
      <c r="B127" s="68">
        <f>IF(G39="Short Term = 0.65",0.65,IF(G39="Standard Term = 1",1,IF(G39="Long Term = 1.15",1.15,)))</f>
        <v>0.65</v>
      </c>
    </row>
    <row r="128" spans="1:8" ht="15.75" x14ac:dyDescent="0.25">
      <c r="B128" s="7" t="s">
        <v>148</v>
      </c>
      <c r="C128" s="69" t="e">
        <f ca="1">((0.8*I10*B127*I11*I12*C29*I13*I14)*10^(-3))</f>
        <v>#DIV/0!</v>
      </c>
      <c r="D128" s="8" t="s">
        <v>50</v>
      </c>
    </row>
    <row r="129" spans="1:9" ht="15.75" x14ac:dyDescent="0.25">
      <c r="B129" s="7" t="s">
        <v>149</v>
      </c>
      <c r="C129" s="68" t="str">
        <f>IF(D19&lt;D18,(((2*0.8*I10*B127*I11*I12*C28*I13*I14)/3)*10^(-3)),"n.a.")</f>
        <v>n.a.</v>
      </c>
      <c r="D129" s="8" t="s">
        <v>50</v>
      </c>
    </row>
    <row r="131" spans="1:9" x14ac:dyDescent="0.25">
      <c r="A131" s="40" t="s">
        <v>117</v>
      </c>
    </row>
    <row r="133" spans="1:9" ht="23.25" x14ac:dyDescent="0.35">
      <c r="B133" s="59" t="s">
        <v>118</v>
      </c>
      <c r="C133" s="57" t="s">
        <v>140</v>
      </c>
      <c r="D133" s="41" t="s">
        <v>119</v>
      </c>
      <c r="E133" s="52">
        <f>G37</f>
        <v>0</v>
      </c>
      <c r="F133" s="42" t="s">
        <v>120</v>
      </c>
      <c r="G133" s="66" t="e">
        <f ca="1">C128</f>
        <v>#DIV/0!</v>
      </c>
      <c r="H133" t="e">
        <f ca="1">IF(E133&lt;=G133,"OK","Section Not Sufficient")</f>
        <v>#DIV/0!</v>
      </c>
    </row>
    <row r="134" spans="1:9" ht="23.25" x14ac:dyDescent="0.35">
      <c r="B134" s="59" t="s">
        <v>118</v>
      </c>
      <c r="C134" s="58" t="s">
        <v>139</v>
      </c>
      <c r="D134" s="41" t="s">
        <v>119</v>
      </c>
      <c r="E134" s="52">
        <f>G38</f>
        <v>0</v>
      </c>
      <c r="F134" s="42" t="s">
        <v>120</v>
      </c>
      <c r="G134" s="70" t="str">
        <f>C129</f>
        <v>n.a.</v>
      </c>
      <c r="H134" t="str">
        <f>IF(G134="n.a.","N.A.",IF(E134&lt;=G134,"OK","Section Not Sufficient"))</f>
        <v>N.A.</v>
      </c>
    </row>
    <row r="136" spans="1:9" ht="18.75" x14ac:dyDescent="0.3">
      <c r="B136" s="75" t="s">
        <v>145</v>
      </c>
      <c r="C136" s="89" t="e">
        <f ca="1">G133</f>
        <v>#DIV/0!</v>
      </c>
      <c r="D136" s="89"/>
      <c r="E136" s="89"/>
      <c r="F136" s="6" t="s">
        <v>50</v>
      </c>
      <c r="G136" s="61" t="e">
        <f ca="1">IF(E133&lt;=G133,"Section is Adequate", "Section is NOT Adequate")</f>
        <v>#DIV/0!</v>
      </c>
    </row>
    <row r="137" spans="1:9" ht="18.75" x14ac:dyDescent="0.3">
      <c r="B137" s="75" t="s">
        <v>146</v>
      </c>
      <c r="C137" s="89" t="str">
        <f>IF(H134="N.A.","N.A. - No Squeezing Effect",G134)</f>
        <v>N.A. - No Squeezing Effect</v>
      </c>
      <c r="D137" s="89"/>
      <c r="E137" s="89"/>
      <c r="F137" s="6" t="s">
        <v>50</v>
      </c>
      <c r="G137" s="61" t="str">
        <f>IF(H134="N.A.","N.A. - No Squeezing Effect",IF(H134="OK","Section is Adequate","Section is NOT Adequate"))</f>
        <v>N.A. - No Squeezing Effect</v>
      </c>
    </row>
    <row r="141" spans="1:9" ht="19.5" thickBot="1" x14ac:dyDescent="0.35">
      <c r="A141" s="19" t="s">
        <v>125</v>
      </c>
      <c r="B141" s="20"/>
      <c r="C141" s="20"/>
      <c r="D141" s="20"/>
      <c r="E141" s="20"/>
      <c r="F141" s="20"/>
    </row>
    <row r="142" spans="1:9" ht="15.75" thickTop="1" x14ac:dyDescent="0.25"/>
    <row r="143" spans="1:9" x14ac:dyDescent="0.25">
      <c r="A143" s="43" t="s">
        <v>127</v>
      </c>
      <c r="B143" s="43"/>
      <c r="C143" s="43"/>
      <c r="D143" s="43"/>
      <c r="E143" s="43"/>
      <c r="F143" s="43"/>
      <c r="G143" s="43"/>
      <c r="H143" s="43"/>
      <c r="I143" s="43"/>
    </row>
    <row r="144" spans="1:9" x14ac:dyDescent="0.25">
      <c r="A144" s="43"/>
      <c r="B144" s="43" t="s">
        <v>126</v>
      </c>
      <c r="C144" s="43"/>
      <c r="D144" s="43"/>
      <c r="E144" s="43"/>
      <c r="F144" s="43"/>
      <c r="G144" s="43"/>
      <c r="H144" s="43"/>
      <c r="I144" s="43"/>
    </row>
  </sheetData>
  <mergeCells count="10">
    <mergeCell ref="D9:F9"/>
    <mergeCell ref="D10:E10"/>
    <mergeCell ref="C123:E123"/>
    <mergeCell ref="C122:E122"/>
    <mergeCell ref="C137:E137"/>
    <mergeCell ref="C136:E136"/>
    <mergeCell ref="E21:E22"/>
    <mergeCell ref="E23:E24"/>
    <mergeCell ref="D47:E47"/>
    <mergeCell ref="D48:E48"/>
  </mergeCells>
  <dataValidations count="7">
    <dataValidation type="list" allowBlank="1" showInputMessage="1" showErrorMessage="1" promptTitle="Material:" prompt="Select material" sqref="D8">
      <formula1>material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11">
      <formula1>SystemFactor</formula1>
    </dataValidation>
    <dataValidation type="list" allowBlank="1" showInputMessage="1" showErrorMessage="1" sqref="D12">
      <formula1>ServiceCondition</formula1>
    </dataValidation>
    <dataValidation type="list" allowBlank="1" showInputMessage="1" showErrorMessage="1" sqref="D13">
      <formula1>TreatmentFactor</formula1>
    </dataValidation>
    <dataValidation type="list" allowBlank="1" showInputMessage="1" showErrorMessage="1" promptTitle="Duration Factor" prompt="Select appropriate/given duration factor." sqref="G39">
      <formula1>kd</formula1>
    </dataValidation>
    <dataValidation type="list" allowBlank="1" showInputMessage="1" showErrorMessage="1" errorTitle="ERROR:" error="Species does not correspond to chosen material." promptTitle="Species:" prompt="Please select corresponding species." sqref="D9:F9">
      <formula1>INDIRECT($D$8)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opLeftCell="A5" workbookViewId="0">
      <selection activeCell="E27" sqref="E27"/>
    </sheetView>
  </sheetViews>
  <sheetFormatPr defaultRowHeight="15" x14ac:dyDescent="0.25"/>
  <cols>
    <col min="6" max="6" width="14.42578125" customWidth="1"/>
    <col min="11" max="11" width="15.42578125" customWidth="1"/>
  </cols>
  <sheetData>
    <row r="1" spans="1:28" x14ac:dyDescent="0.25">
      <c r="A1" s="1" t="s">
        <v>0</v>
      </c>
      <c r="J1" s="49"/>
      <c r="K1" s="49" t="s">
        <v>6</v>
      </c>
      <c r="L1" s="49" t="s">
        <v>8</v>
      </c>
      <c r="M1" s="49"/>
      <c r="N1" s="49"/>
      <c r="O1" s="49"/>
      <c r="P1" s="49" t="s">
        <v>10</v>
      </c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8" x14ac:dyDescent="0.25">
      <c r="A2" t="s">
        <v>1</v>
      </c>
      <c r="J2" s="49"/>
      <c r="K2" s="51"/>
      <c r="L2" s="51"/>
      <c r="M2" s="51"/>
      <c r="N2" s="51"/>
      <c r="O2" s="51"/>
      <c r="P2" s="51" t="s">
        <v>23</v>
      </c>
      <c r="Q2" s="51" t="s">
        <v>24</v>
      </c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8" x14ac:dyDescent="0.25">
      <c r="A3" t="s">
        <v>2</v>
      </c>
      <c r="J3" s="49" t="s">
        <v>130</v>
      </c>
      <c r="K3" s="49">
        <v>7</v>
      </c>
      <c r="L3" s="49">
        <v>5.8</v>
      </c>
      <c r="M3" s="49"/>
      <c r="N3" s="49"/>
      <c r="O3" s="49"/>
      <c r="P3" s="49">
        <v>4.5999999999999996</v>
      </c>
      <c r="Q3" s="49">
        <v>7</v>
      </c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8" x14ac:dyDescent="0.25">
      <c r="A4" s="1" t="s">
        <v>3</v>
      </c>
      <c r="C4" s="1" t="s">
        <v>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8" x14ac:dyDescent="0.25">
      <c r="A5" t="s">
        <v>5</v>
      </c>
      <c r="C5" t="s">
        <v>6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8" x14ac:dyDescent="0.25">
      <c r="A6" t="s">
        <v>7</v>
      </c>
      <c r="C6" t="s">
        <v>8</v>
      </c>
      <c r="J6" s="49"/>
      <c r="K6" s="49" t="s">
        <v>5</v>
      </c>
      <c r="L6" s="49" t="s">
        <v>7</v>
      </c>
      <c r="M6" s="49" t="s">
        <v>9</v>
      </c>
      <c r="N6" t="s">
        <v>11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8" x14ac:dyDescent="0.25">
      <c r="A7" t="s">
        <v>9</v>
      </c>
      <c r="C7" t="s">
        <v>10</v>
      </c>
      <c r="J7" s="50" t="s">
        <v>130</v>
      </c>
      <c r="K7" s="31">
        <v>7</v>
      </c>
      <c r="L7" s="48">
        <v>4.5999999999999996</v>
      </c>
      <c r="M7" s="48">
        <v>5.3</v>
      </c>
      <c r="N7" s="48">
        <v>3.5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9"/>
    </row>
    <row r="8" spans="1:28" x14ac:dyDescent="0.25">
      <c r="A8" t="s">
        <v>11</v>
      </c>
      <c r="J8" s="49"/>
      <c r="K8" s="50"/>
      <c r="L8" s="31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</row>
    <row r="9" spans="1:28" x14ac:dyDescent="0.25">
      <c r="A9" s="1" t="s">
        <v>12</v>
      </c>
      <c r="K9" s="50"/>
      <c r="L9" s="31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</row>
    <row r="10" spans="1:28" x14ac:dyDescent="0.25">
      <c r="A10" s="2" t="s">
        <v>13</v>
      </c>
      <c r="C10" s="2" t="s">
        <v>13</v>
      </c>
      <c r="E10" s="2" t="s">
        <v>13</v>
      </c>
      <c r="G10" s="2" t="s">
        <v>13</v>
      </c>
      <c r="K10" s="50"/>
      <c r="L10" s="31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31"/>
      <c r="Z10" s="49"/>
      <c r="AA10" s="49"/>
      <c r="AB10" s="49"/>
    </row>
    <row r="11" spans="1:28" x14ac:dyDescent="0.25">
      <c r="A11" s="2" t="s">
        <v>14</v>
      </c>
      <c r="C11" s="2" t="s">
        <v>14</v>
      </c>
      <c r="E11" s="2" t="s">
        <v>14</v>
      </c>
      <c r="G11" s="2" t="s">
        <v>14</v>
      </c>
      <c r="K11" s="50"/>
      <c r="L11" s="31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31"/>
      <c r="Z11" s="49"/>
      <c r="AA11" s="49"/>
      <c r="AB11" s="49"/>
    </row>
    <row r="12" spans="1:28" x14ac:dyDescent="0.25">
      <c r="A12" s="2" t="s">
        <v>15</v>
      </c>
      <c r="C12" s="2" t="s">
        <v>15</v>
      </c>
      <c r="E12" s="2" t="s">
        <v>15</v>
      </c>
      <c r="G12" s="2" t="s">
        <v>15</v>
      </c>
      <c r="K12" s="50"/>
      <c r="L12" s="31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31"/>
      <c r="Z12" s="49"/>
      <c r="AA12" s="49"/>
      <c r="AB12" s="49"/>
    </row>
    <row r="13" spans="1:28" x14ac:dyDescent="0.25">
      <c r="A13" s="2" t="s">
        <v>16</v>
      </c>
      <c r="C13" s="2" t="s">
        <v>16</v>
      </c>
      <c r="E13" s="2" t="s">
        <v>16</v>
      </c>
      <c r="G13" s="2" t="s">
        <v>16</v>
      </c>
      <c r="K13" s="50"/>
      <c r="L13" s="31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31"/>
      <c r="Z13" s="49"/>
      <c r="AA13" s="49"/>
      <c r="AB13" s="49"/>
    </row>
    <row r="14" spans="1:28" x14ac:dyDescent="0.25">
      <c r="A14" s="2" t="s">
        <v>17</v>
      </c>
      <c r="C14" s="2" t="s">
        <v>17</v>
      </c>
      <c r="E14" s="2" t="s">
        <v>17</v>
      </c>
      <c r="G14" s="2" t="s">
        <v>17</v>
      </c>
      <c r="K14" s="50"/>
      <c r="L14" s="31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31"/>
      <c r="Z14" s="49"/>
      <c r="AA14" s="49"/>
      <c r="AB14" s="49"/>
    </row>
    <row r="15" spans="1:28" x14ac:dyDescent="0.25">
      <c r="A15" s="2" t="s">
        <v>18</v>
      </c>
      <c r="C15" s="2" t="s">
        <v>18</v>
      </c>
      <c r="E15" s="2" t="s">
        <v>18</v>
      </c>
      <c r="G15" s="2" t="s">
        <v>18</v>
      </c>
      <c r="K15" s="50"/>
      <c r="L15" s="31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1"/>
      <c r="Z15" s="49"/>
      <c r="AA15" s="49"/>
      <c r="AB15" s="49"/>
    </row>
    <row r="16" spans="1:28" x14ac:dyDescent="0.25">
      <c r="A16" s="2" t="s">
        <v>19</v>
      </c>
      <c r="C16" s="2" t="s">
        <v>19</v>
      </c>
      <c r="E16" s="2" t="s">
        <v>19</v>
      </c>
      <c r="G16" s="2" t="s">
        <v>19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7" x14ac:dyDescent="0.25">
      <c r="A17" s="2" t="s">
        <v>20</v>
      </c>
      <c r="C17" s="2" t="s">
        <v>20</v>
      </c>
      <c r="E17" s="2" t="s">
        <v>20</v>
      </c>
      <c r="G17" s="2" t="s">
        <v>20</v>
      </c>
    </row>
    <row r="18" spans="1:7" x14ac:dyDescent="0.25">
      <c r="A18" s="2" t="s">
        <v>21</v>
      </c>
      <c r="C18" s="2" t="s">
        <v>21</v>
      </c>
      <c r="E18" s="2" t="s">
        <v>21</v>
      </c>
      <c r="G18" s="2" t="s">
        <v>21</v>
      </c>
    </row>
    <row r="20" spans="1:7" x14ac:dyDescent="0.25">
      <c r="A20" s="1" t="s">
        <v>22</v>
      </c>
    </row>
    <row r="21" spans="1:7" x14ac:dyDescent="0.25">
      <c r="A21" s="2" t="s">
        <v>23</v>
      </c>
      <c r="B21" s="2" t="s">
        <v>25</v>
      </c>
      <c r="C21" s="2" t="s">
        <v>23</v>
      </c>
    </row>
    <row r="22" spans="1:7" x14ac:dyDescent="0.25">
      <c r="A22" s="2" t="s">
        <v>24</v>
      </c>
      <c r="B22" s="2" t="s">
        <v>26</v>
      </c>
      <c r="C22" s="2" t="s">
        <v>24</v>
      </c>
    </row>
    <row r="23" spans="1:7" x14ac:dyDescent="0.25">
      <c r="A23" s="2" t="s">
        <v>25</v>
      </c>
      <c r="B23" s="2" t="s">
        <v>29</v>
      </c>
      <c r="C23" s="2"/>
    </row>
    <row r="24" spans="1:7" x14ac:dyDescent="0.25">
      <c r="A24" s="2" t="s">
        <v>26</v>
      </c>
      <c r="B24" s="2" t="s">
        <v>30</v>
      </c>
      <c r="C24" s="2"/>
    </row>
    <row r="25" spans="1:7" x14ac:dyDescent="0.25">
      <c r="A25" s="2" t="s">
        <v>27</v>
      </c>
      <c r="C25" s="2"/>
    </row>
    <row r="26" spans="1:7" x14ac:dyDescent="0.25">
      <c r="A26" s="2" t="s">
        <v>28</v>
      </c>
      <c r="C26" s="2"/>
    </row>
    <row r="27" spans="1:7" x14ac:dyDescent="0.25">
      <c r="A27" s="2"/>
      <c r="C27" s="2"/>
    </row>
    <row r="28" spans="1:7" x14ac:dyDescent="0.25">
      <c r="A28" s="2"/>
      <c r="C28" s="2"/>
    </row>
    <row r="29" spans="1:7" x14ac:dyDescent="0.25">
      <c r="F29" t="s">
        <v>132</v>
      </c>
      <c r="G29" t="s">
        <v>133</v>
      </c>
    </row>
    <row r="30" spans="1:7" x14ac:dyDescent="0.25">
      <c r="A30" s="3" t="s">
        <v>31</v>
      </c>
      <c r="F30">
        <f>MIN(Sheet1!D18,Sheet1!D17)</f>
        <v>0</v>
      </c>
      <c r="G30">
        <f>MAX(Sheet1!D18,Sheet1!D17)</f>
        <v>0</v>
      </c>
    </row>
    <row r="31" spans="1:7" x14ac:dyDescent="0.25">
      <c r="A31" t="s">
        <v>32</v>
      </c>
      <c r="C31" s="2"/>
    </row>
    <row r="32" spans="1:7" x14ac:dyDescent="0.25">
      <c r="A32" t="s">
        <v>17</v>
      </c>
      <c r="C32" s="2"/>
    </row>
    <row r="33" spans="1:4" x14ac:dyDescent="0.25">
      <c r="A33" t="s">
        <v>33</v>
      </c>
      <c r="C33" s="2"/>
    </row>
    <row r="34" spans="1:4" x14ac:dyDescent="0.25">
      <c r="A34" t="s">
        <v>34</v>
      </c>
      <c r="C34" s="2"/>
    </row>
    <row r="35" spans="1:4" x14ac:dyDescent="0.25">
      <c r="A35" t="s">
        <v>35</v>
      </c>
      <c r="C35" s="2"/>
    </row>
    <row r="36" spans="1:4" x14ac:dyDescent="0.25">
      <c r="A36" t="s">
        <v>36</v>
      </c>
      <c r="C36" s="2"/>
      <c r="D36" s="53"/>
    </row>
    <row r="37" spans="1:4" x14ac:dyDescent="0.25">
      <c r="A37" t="s">
        <v>37</v>
      </c>
      <c r="C37" s="2"/>
    </row>
    <row r="38" spans="1:4" x14ac:dyDescent="0.25">
      <c r="A38" s="1" t="s">
        <v>131</v>
      </c>
    </row>
    <row r="39" spans="1:4" x14ac:dyDescent="0.25">
      <c r="A39" t="str">
        <f>IF(F30&lt;=89,IF(OR(Sheet1!D10="Select",Sheet1!D10="Commercial"),A37,IF(OR(Sheet1!D10="Construction",Sheet1!D10="Standard"),A31,IF(Sheet1!D10="Stud",A32,IF(G30&gt;=114,A34,A33)))),IF(F30&gt;=114,IF((G30-F30)&lt;=51,A36,A35),"ERROR - check dimensions"))</f>
        <v>Light Framing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workbookViewId="0">
      <selection activeCell="B28" sqref="B28"/>
    </sheetView>
  </sheetViews>
  <sheetFormatPr defaultRowHeight="15" x14ac:dyDescent="0.25"/>
  <cols>
    <col min="3" max="3" width="8.7109375" customWidth="1"/>
    <col min="4" max="4" width="15.7109375" customWidth="1"/>
  </cols>
  <sheetData>
    <row r="1" spans="1:7" x14ac:dyDescent="0.25">
      <c r="A1" s="1" t="s">
        <v>56</v>
      </c>
      <c r="C1" s="1" t="s">
        <v>59</v>
      </c>
      <c r="E1" s="1" t="s">
        <v>62</v>
      </c>
      <c r="G1" s="1" t="s">
        <v>121</v>
      </c>
    </row>
    <row r="2" spans="1:7" x14ac:dyDescent="0.25">
      <c r="A2" t="s">
        <v>57</v>
      </c>
      <c r="C2" t="s">
        <v>60</v>
      </c>
      <c r="E2" t="s">
        <v>57</v>
      </c>
      <c r="G2" t="s">
        <v>122</v>
      </c>
    </row>
    <row r="3" spans="1:7" x14ac:dyDescent="0.25">
      <c r="A3" t="s">
        <v>58</v>
      </c>
      <c r="C3" t="s">
        <v>61</v>
      </c>
      <c r="E3" t="s">
        <v>63</v>
      </c>
      <c r="G3" t="s">
        <v>123</v>
      </c>
    </row>
    <row r="4" spans="1:7" x14ac:dyDescent="0.25">
      <c r="E4" t="s">
        <v>64</v>
      </c>
      <c r="G4" t="s">
        <v>124</v>
      </c>
    </row>
    <row r="6" spans="1:7" ht="16.5" x14ac:dyDescent="0.3">
      <c r="A6" s="23" t="s">
        <v>101</v>
      </c>
    </row>
    <row r="7" spans="1:7" x14ac:dyDescent="0.25">
      <c r="A7" t="s">
        <v>136</v>
      </c>
    </row>
    <row r="8" spans="1:7" x14ac:dyDescent="0.25">
      <c r="A8" t="s">
        <v>135</v>
      </c>
    </row>
    <row r="9" spans="1:7" x14ac:dyDescent="0.25">
      <c r="A9" t="s">
        <v>134</v>
      </c>
    </row>
    <row r="13" spans="1:7" x14ac:dyDescent="0.25">
      <c r="A13" s="81" t="s">
        <v>140</v>
      </c>
      <c r="B13" s="56" t="e">
        <f ca="1">Sheet1!C104</f>
        <v>#DIV/0!</v>
      </c>
      <c r="C13" s="56" t="e">
        <f ca="1">Sheet1!C107</f>
        <v>#DIV/0!</v>
      </c>
      <c r="D13" s="56" t="e">
        <f ca="1">Sheet1!C110</f>
        <v>#DIV/0!</v>
      </c>
    </row>
    <row r="14" spans="1:7" x14ac:dyDescent="0.25">
      <c r="A14" s="81" t="s">
        <v>162</v>
      </c>
      <c r="B14">
        <v>0.65</v>
      </c>
      <c r="C14">
        <v>1</v>
      </c>
      <c r="D14">
        <v>1.1499999999999999</v>
      </c>
    </row>
    <row r="15" spans="1:7" x14ac:dyDescent="0.25">
      <c r="A15" t="s">
        <v>164</v>
      </c>
      <c r="B15" s="56"/>
      <c r="C15" t="e">
        <f ca="1">HLOOKUP(Sheet1!C122,B13:D14,2)</f>
        <v>#DIV/0!</v>
      </c>
    </row>
    <row r="18" spans="1:5" x14ac:dyDescent="0.25">
      <c r="A18" t="s">
        <v>165</v>
      </c>
      <c r="B18" t="s">
        <v>159</v>
      </c>
    </row>
    <row r="19" spans="1:5" x14ac:dyDescent="0.25">
      <c r="A19">
        <v>12.5</v>
      </c>
      <c r="B19">
        <v>1.75</v>
      </c>
    </row>
    <row r="20" spans="1:5" x14ac:dyDescent="0.25">
      <c r="A20">
        <v>25</v>
      </c>
      <c r="B20">
        <v>1.38</v>
      </c>
    </row>
    <row r="21" spans="1:5" x14ac:dyDescent="0.25">
      <c r="A21">
        <v>38</v>
      </c>
      <c r="B21">
        <v>1.25</v>
      </c>
    </row>
    <row r="22" spans="1:5" x14ac:dyDescent="0.25">
      <c r="A22">
        <v>50</v>
      </c>
      <c r="B22">
        <v>1.19</v>
      </c>
    </row>
    <row r="23" spans="1:5" x14ac:dyDescent="0.25">
      <c r="A23">
        <v>75</v>
      </c>
      <c r="B23">
        <v>1.1299999999999999</v>
      </c>
    </row>
    <row r="24" spans="1:5" x14ac:dyDescent="0.25">
      <c r="A24">
        <v>100</v>
      </c>
      <c r="B24">
        <v>1.1000000000000001</v>
      </c>
      <c r="E24" s="83"/>
    </row>
    <row r="25" spans="1:5" x14ac:dyDescent="0.25">
      <c r="A25">
        <v>150</v>
      </c>
      <c r="B25">
        <v>1</v>
      </c>
      <c r="E25" s="83"/>
    </row>
    <row r="27" spans="1:5" x14ac:dyDescent="0.25">
      <c r="A27" t="s">
        <v>166</v>
      </c>
      <c r="B27">
        <f ca="1">IF(OR(MIN(Sheet1!D21,Sheet1!D22)=12.5,MIN(Sheet1!D21,Sheet1!D22)=25,MIN(Sheet1!D21,Sheet1!D22)=38,MIN(Sheet1!D21,Sheet1!D22)=50,MIN(Sheet1!D21,Sheet1!D22)=75,MIN(Sheet1!D21,Sheet1!D22)=100,MIN(Sheet1!D21,Sheet1!D22)=150), VLOOKUP(MIN(Sheet1!D21,Sheet1!D22),'Other Lists'!A19:B25,2),IF(MIN(Sheet1!D21,Sheet1!D22)&gt;150,1,IF(MIN(Sheet1!D21,Sheet1!D22)&lt;12.5,1.75, FORECAST(MIN(Sheet1!D21,Sheet1!D22),OFFSET('Other Lists'!B19:B25,MATCH(MIN(Sheet1!D21,Sheet1!D22),'Other Lists'!A19:A25,1)-1,0,2),OFFSET('Other Lists'!A19:A25,MATCH(MIN(Sheet1!D21,Sheet1!D22),'Other Lists'!A19:A25,1)-1,0,2)))))</f>
        <v>1.75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G7" sqref="G7"/>
    </sheetView>
  </sheetViews>
  <sheetFormatPr defaultRowHeight="15" x14ac:dyDescent="0.25"/>
  <sheetData>
    <row r="1" spans="1:12" x14ac:dyDescent="0.25">
      <c r="A1" s="62" t="s">
        <v>160</v>
      </c>
    </row>
    <row r="2" spans="1:12" x14ac:dyDescent="0.25">
      <c r="A2" t="s">
        <v>1</v>
      </c>
    </row>
    <row r="3" spans="1:12" x14ac:dyDescent="0.25">
      <c r="A3" s="81" t="s">
        <v>155</v>
      </c>
      <c r="B3" s="81" t="s">
        <v>130</v>
      </c>
      <c r="C3" s="81" t="s">
        <v>156</v>
      </c>
      <c r="D3" s="81" t="s">
        <v>157</v>
      </c>
      <c r="E3" s="81" t="s">
        <v>158</v>
      </c>
      <c r="F3" s="81" t="s">
        <v>159</v>
      </c>
      <c r="G3" s="81" t="s">
        <v>161</v>
      </c>
      <c r="H3" s="81" t="s">
        <v>162</v>
      </c>
      <c r="I3" s="81" t="s">
        <v>140</v>
      </c>
      <c r="L3" s="81"/>
    </row>
    <row r="4" spans="1:12" x14ac:dyDescent="0.25">
      <c r="A4" s="33">
        <f>Sheet1!D17</f>
        <v>0</v>
      </c>
      <c r="B4" s="33">
        <f>Sheet1!I10</f>
        <v>7</v>
      </c>
      <c r="C4" s="33">
        <f>IF(Sheet1!D12="Dry", 1,0.67)</f>
        <v>0.67</v>
      </c>
      <c r="D4" s="33">
        <f>Sheet1!I12</f>
        <v>1</v>
      </c>
      <c r="E4" s="33" t="e">
        <f>Sheet1!I14</f>
        <v>#DIV/0!</v>
      </c>
      <c r="F4" s="33">
        <f ca="1">Sheet1!I13</f>
        <v>1.75</v>
      </c>
      <c r="G4" s="33">
        <f>Sheet1!D22*A4</f>
        <v>0</v>
      </c>
      <c r="H4" s="33" t="e">
        <f ca="1">IF(AND(Sheet1!G37=0,Sheet1!G38=0),'Other Lists'!C15,Sheet1!B127)</f>
        <v>#DIV/0!</v>
      </c>
      <c r="I4" s="82" t="e">
        <f t="shared" ref="I4:I9" ca="1" si="0">((0.8*B4*H4*C4*D4*G4*F4*E4)*10^(-3))</f>
        <v>#DIV/0!</v>
      </c>
    </row>
    <row r="5" spans="1:12" x14ac:dyDescent="0.25">
      <c r="A5" s="33">
        <v>64</v>
      </c>
      <c r="B5" s="33">
        <f>Sheet1!I10</f>
        <v>7</v>
      </c>
      <c r="C5" s="33">
        <f>IF(Sheet1!D12="Dry", 1,0.67)</f>
        <v>0.67</v>
      </c>
      <c r="D5" s="33">
        <f>Sheet1!I12</f>
        <v>1</v>
      </c>
      <c r="E5" s="33" t="e">
        <f>Sheet1!I14</f>
        <v>#DIV/0!</v>
      </c>
      <c r="F5" s="33">
        <f ca="1">Sheet1!I13</f>
        <v>1.75</v>
      </c>
      <c r="G5" s="33">
        <f>Sheet1!D22*A5</f>
        <v>0</v>
      </c>
      <c r="H5" s="33" t="e">
        <f ca="1">IF(AND(Sheet1!G37=0,Sheet1!G38=0),'Other Lists'!C15,Sheet1!B127)</f>
        <v>#DIV/0!</v>
      </c>
      <c r="I5" s="82" t="e">
        <f t="shared" ca="1" si="0"/>
        <v>#DIV/0!</v>
      </c>
    </row>
    <row r="6" spans="1:12" x14ac:dyDescent="0.25">
      <c r="A6" s="33">
        <v>89</v>
      </c>
      <c r="B6" s="33">
        <f>Sheet1!I10</f>
        <v>7</v>
      </c>
      <c r="C6" s="33">
        <f>IF(Sheet1!D12="Dry", 1,0.67)</f>
        <v>0.67</v>
      </c>
      <c r="D6" s="33">
        <f>Sheet1!I12</f>
        <v>1</v>
      </c>
      <c r="E6" s="33" t="e">
        <f>Sheet1!I14</f>
        <v>#DIV/0!</v>
      </c>
      <c r="F6" s="33">
        <f ca="1">Sheet1!I13</f>
        <v>1.75</v>
      </c>
      <c r="G6" s="33">
        <f>Sheet1!D22*A6</f>
        <v>0</v>
      </c>
      <c r="H6" s="33" t="e">
        <f ca="1">IF(AND(Sheet1!G37=0,Sheet1!G38=0),'Other Lists'!C15,Sheet1!B127)</f>
        <v>#DIV/0!</v>
      </c>
      <c r="I6" s="82" t="e">
        <f t="shared" ca="1" si="0"/>
        <v>#DIV/0!</v>
      </c>
    </row>
    <row r="7" spans="1:12" x14ac:dyDescent="0.25">
      <c r="A7" s="33">
        <v>140</v>
      </c>
      <c r="B7" s="33">
        <f>Sheet1!I10</f>
        <v>7</v>
      </c>
      <c r="C7" s="33">
        <f>IF(Sheet1!D12="Dry", 1,0.67)</f>
        <v>0.67</v>
      </c>
      <c r="D7" s="33">
        <f>Sheet1!I12</f>
        <v>1</v>
      </c>
      <c r="E7" s="33" t="e">
        <f>Sheet1!I14</f>
        <v>#DIV/0!</v>
      </c>
      <c r="F7" s="33">
        <f ca="1">Sheet1!I13</f>
        <v>1.75</v>
      </c>
      <c r="G7" s="33">
        <f>Sheet1!D22*A7</f>
        <v>0</v>
      </c>
      <c r="H7" s="33" t="e">
        <f ca="1">IF(AND(Sheet1!G37=0,Sheet1!G38=0),'Other Lists'!C15,Sheet1!B127)</f>
        <v>#DIV/0!</v>
      </c>
      <c r="I7" s="82" t="e">
        <f t="shared" ca="1" si="0"/>
        <v>#DIV/0!</v>
      </c>
    </row>
    <row r="8" spans="1:12" x14ac:dyDescent="0.25">
      <c r="A8" s="33">
        <v>191</v>
      </c>
      <c r="B8" s="33">
        <f>Sheet1!I10</f>
        <v>7</v>
      </c>
      <c r="C8" s="33">
        <f>IF(Sheet1!D12="Dry", 1,0.67)</f>
        <v>0.67</v>
      </c>
      <c r="D8" s="33">
        <f>Sheet1!I12</f>
        <v>1</v>
      </c>
      <c r="E8" s="33" t="e">
        <f>Sheet1!I14</f>
        <v>#DIV/0!</v>
      </c>
      <c r="F8" s="33">
        <f ca="1">Sheet1!I13</f>
        <v>1.75</v>
      </c>
      <c r="G8" s="33">
        <f>Sheet1!D22*A8</f>
        <v>0</v>
      </c>
      <c r="H8" s="33" t="e">
        <f ca="1">IF(AND(Sheet1!G37=0,Sheet1!G38=0),'Other Lists'!C15,Sheet1!B127)</f>
        <v>#DIV/0!</v>
      </c>
      <c r="I8" s="82" t="e">
        <f t="shared" ca="1" si="0"/>
        <v>#DIV/0!</v>
      </c>
    </row>
    <row r="9" spans="1:12" x14ac:dyDescent="0.25">
      <c r="A9" s="33">
        <v>241</v>
      </c>
      <c r="B9" s="33">
        <f>Sheet1!I10</f>
        <v>7</v>
      </c>
      <c r="C9" s="33">
        <f>IF(Sheet1!D12="Dry", 1,0.67)</f>
        <v>0.67</v>
      </c>
      <c r="D9" s="33">
        <f>Sheet1!I12</f>
        <v>1</v>
      </c>
      <c r="E9" s="33" t="e">
        <f>Sheet1!I14</f>
        <v>#DIV/0!</v>
      </c>
      <c r="F9" s="33">
        <f ca="1">Sheet1!I13</f>
        <v>1.75</v>
      </c>
      <c r="G9" s="33">
        <f>Sheet1!D22*A9</f>
        <v>0</v>
      </c>
      <c r="H9" s="33" t="e">
        <f ca="1">IF(AND(Sheet1!G37=0,Sheet1!G38=0),'Other Lists'!C15,Sheet1!B127)</f>
        <v>#DIV/0!</v>
      </c>
      <c r="I9" s="82" t="e">
        <f t="shared" ca="1" si="0"/>
        <v>#DIV/0!</v>
      </c>
    </row>
    <row r="10" spans="1:12" x14ac:dyDescent="0.25">
      <c r="B10" s="80"/>
    </row>
    <row r="11" spans="1:12" x14ac:dyDescent="0.25">
      <c r="B11" s="80"/>
    </row>
    <row r="12" spans="1:12" x14ac:dyDescent="0.25">
      <c r="B12" s="80"/>
    </row>
    <row r="13" spans="1:12" x14ac:dyDescent="0.25">
      <c r="B13" s="80"/>
    </row>
    <row r="14" spans="1:12" x14ac:dyDescent="0.25">
      <c r="B14" s="79"/>
    </row>
    <row r="15" spans="1:12" x14ac:dyDescent="0.25">
      <c r="A15" t="s">
        <v>2</v>
      </c>
    </row>
    <row r="16" spans="1:12" x14ac:dyDescent="0.25">
      <c r="A16" s="81" t="s">
        <v>155</v>
      </c>
      <c r="B16" s="81" t="s">
        <v>130</v>
      </c>
      <c r="C16" s="81" t="s">
        <v>156</v>
      </c>
      <c r="D16" s="81" t="s">
        <v>157</v>
      </c>
      <c r="E16" s="81" t="s">
        <v>158</v>
      </c>
      <c r="F16" s="81" t="s">
        <v>159</v>
      </c>
      <c r="G16" s="81" t="s">
        <v>161</v>
      </c>
      <c r="H16" s="81" t="s">
        <v>162</v>
      </c>
      <c r="I16" s="81" t="s">
        <v>140</v>
      </c>
    </row>
    <row r="17" spans="1:9" x14ac:dyDescent="0.25">
      <c r="A17" s="33">
        <v>80</v>
      </c>
      <c r="B17" s="33">
        <f>Sheet1!I10</f>
        <v>7</v>
      </c>
      <c r="C17" s="33">
        <f>IF(Sheet1!D12="Dry", 1,0.67)</f>
        <v>0.67</v>
      </c>
      <c r="D17" s="33">
        <f>Sheet1!I12</f>
        <v>1</v>
      </c>
      <c r="E17" s="33" t="e">
        <f>Sheet1!I14</f>
        <v>#DIV/0!</v>
      </c>
      <c r="F17" s="33">
        <f ca="1">Sheet1!I13</f>
        <v>1.75</v>
      </c>
      <c r="G17" s="33">
        <f>Sheet1!D22*A17</f>
        <v>0</v>
      </c>
      <c r="H17" s="33" t="e">
        <f ca="1">IF(AND(Sheet1!G37=0,Sheet1!G38=0),'Other Lists'!C15,Sheet1!B127)</f>
        <v>#DIV/0!</v>
      </c>
      <c r="I17" s="82" t="e">
        <f ca="1">((0.8*B17*H17*C17*D17*G17*F17*E17)*10^(-3))</f>
        <v>#DIV/0!</v>
      </c>
    </row>
    <row r="18" spans="1:9" x14ac:dyDescent="0.25">
      <c r="A18" s="33">
        <v>130</v>
      </c>
      <c r="B18" s="33">
        <f>Sheet1!I10</f>
        <v>7</v>
      </c>
      <c r="C18" s="33">
        <f>IF(Sheet1!D12="Dry", 1,0.67)</f>
        <v>0.67</v>
      </c>
      <c r="D18" s="33">
        <f>Sheet1!I12</f>
        <v>1</v>
      </c>
      <c r="E18" s="33" t="e">
        <f>Sheet1!I14</f>
        <v>#DIV/0!</v>
      </c>
      <c r="F18" s="33">
        <f ca="1">Sheet1!I13</f>
        <v>1.75</v>
      </c>
      <c r="G18" s="33">
        <f>Sheet1!D23*A18</f>
        <v>0</v>
      </c>
      <c r="H18" s="33" t="e">
        <f ca="1">IF(AND(Sheet1!G37=0,Sheet1!G38=0),'Other Lists'!C15,Sheet1!B127)</f>
        <v>#DIV/0!</v>
      </c>
      <c r="I18" s="82" t="e">
        <f ca="1">((0.8*B18*H18*C18*D18*G18*F18*E18)*10^(-3))</f>
        <v>#DIV/0!</v>
      </c>
    </row>
    <row r="19" spans="1:9" x14ac:dyDescent="0.25">
      <c r="A19" s="33">
        <v>175</v>
      </c>
      <c r="B19" s="33">
        <f>Sheet1!I10</f>
        <v>7</v>
      </c>
      <c r="C19" s="33">
        <f>IF(Sheet1!D12="Dry", 1,0.67)</f>
        <v>0.67</v>
      </c>
      <c r="D19" s="33">
        <f>Sheet1!I12</f>
        <v>1</v>
      </c>
      <c r="E19" s="33" t="e">
        <f>Sheet1!I14</f>
        <v>#DIV/0!</v>
      </c>
      <c r="F19" s="33">
        <f ca="1">Sheet1!I13</f>
        <v>1.75</v>
      </c>
      <c r="G19" s="33">
        <f>Sheet1!D24*A19</f>
        <v>0</v>
      </c>
      <c r="H19" s="33" t="e">
        <f ca="1">IF(AND(Sheet1!G37=0,Sheet1!G38=0),'Other Lists'!C15,Sheet1!B127)</f>
        <v>#DIV/0!</v>
      </c>
      <c r="I19" s="82" t="e">
        <f ca="1">((0.8*B19*H19*C19*D19*G19*F19*E19)*10^(-3))</f>
        <v>#DIV/0!</v>
      </c>
    </row>
    <row r="20" spans="1:9" x14ac:dyDescent="0.25">
      <c r="A20" s="33">
        <v>215</v>
      </c>
      <c r="B20" s="33">
        <f>Sheet1!I10</f>
        <v>7</v>
      </c>
      <c r="C20" s="33">
        <f>IF(Sheet1!D12="Dry", 1,0.67)</f>
        <v>0.67</v>
      </c>
      <c r="D20" s="33">
        <f>Sheet1!I12</f>
        <v>1</v>
      </c>
      <c r="E20" s="33" t="e">
        <f>Sheet1!I14</f>
        <v>#DIV/0!</v>
      </c>
      <c r="F20" s="33">
        <f ca="1">Sheet1!I13</f>
        <v>1.75</v>
      </c>
      <c r="G20" s="33">
        <f>Sheet1!D25*A20</f>
        <v>0</v>
      </c>
      <c r="H20" s="33" t="e">
        <f ca="1">IF(AND(Sheet1!G37=0,Sheet1!G38=0),'Other Lists'!C15,Sheet1!B127)</f>
        <v>#DIV/0!</v>
      </c>
      <c r="I20" s="82" t="e">
        <f ca="1">((0.8*B20*H20*C20*D20*G20*F20*E20)*10^(-3))</f>
        <v>#DIV/0!</v>
      </c>
    </row>
    <row r="21" spans="1:9" x14ac:dyDescent="0.25">
      <c r="B21" s="80"/>
    </row>
    <row r="22" spans="1:9" x14ac:dyDescent="0.25">
      <c r="B22" s="80"/>
    </row>
    <row r="23" spans="1:9" x14ac:dyDescent="0.25">
      <c r="B23" s="80"/>
    </row>
    <row r="24" spans="1:9" x14ac:dyDescent="0.25">
      <c r="B24" s="80"/>
    </row>
    <row r="25" spans="1:9" x14ac:dyDescent="0.25">
      <c r="B25" s="80"/>
    </row>
    <row r="26" spans="1:9" x14ac:dyDescent="0.25">
      <c r="B26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Sheet1</vt:lpstr>
      <vt:lpstr>Material Properties</vt:lpstr>
      <vt:lpstr>Other Lists</vt:lpstr>
      <vt:lpstr>Graph Data</vt:lpstr>
      <vt:lpstr>DFirL</vt:lpstr>
      <vt:lpstr>DouglasFirLarch</vt:lpstr>
      <vt:lpstr>glulam</vt:lpstr>
      <vt:lpstr>gradeG</vt:lpstr>
      <vt:lpstr>gradeL</vt:lpstr>
      <vt:lpstr>HemFir</vt:lpstr>
      <vt:lpstr>HemFirandDouglasFirLarch</vt:lpstr>
      <vt:lpstr>kd</vt:lpstr>
      <vt:lpstr>lumber</vt:lpstr>
      <vt:lpstr>material</vt:lpstr>
      <vt:lpstr>Northern</vt:lpstr>
      <vt:lpstr>ServiceCondition</vt:lpstr>
      <vt:lpstr>SPF</vt:lpstr>
      <vt:lpstr>SpruceLodgepolePineJackPine</vt:lpstr>
      <vt:lpstr>SystemFactor</vt:lpstr>
      <vt:lpstr>TreatmentFactor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Jeffrey Erochko</cp:lastModifiedBy>
  <cp:lastPrinted>2014-03-31T23:50:25Z</cp:lastPrinted>
  <dcterms:created xsi:type="dcterms:W3CDTF">2014-03-02T04:41:13Z</dcterms:created>
  <dcterms:modified xsi:type="dcterms:W3CDTF">2014-04-25T15:12:53Z</dcterms:modified>
</cp:coreProperties>
</file>