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20" windowWidth="24915" windowHeight="12075"/>
  </bookViews>
  <sheets>
    <sheet name="Inputs and Final Results" sheetId="1" r:id="rId1"/>
    <sheet name="Data " sheetId="2" r:id="rId2"/>
    <sheet name="Glue Lam Str. Table" sheetId="3" r:id="rId3"/>
  </sheets>
  <definedNames>
    <definedName name="_xlnm.Print_Area" localSheetId="0">'Inputs and Final Results'!$A$1:$Z$44</definedName>
  </definedNames>
  <calcPr calcId="125725"/>
</workbook>
</file>

<file path=xl/calcChain.xml><?xml version="1.0" encoding="utf-8"?>
<calcChain xmlns="http://schemas.openxmlformats.org/spreadsheetml/2006/main">
  <c r="L14" i="1"/>
  <c r="T30"/>
  <c r="I34" i="2"/>
  <c r="X29" i="1"/>
  <c r="X22"/>
  <c r="P14"/>
  <c r="P15" s="1"/>
  <c r="L31"/>
  <c r="B86"/>
  <c r="H86" s="1"/>
  <c r="P28"/>
  <c r="B60"/>
  <c r="C60" s="1"/>
  <c r="E60" s="1"/>
  <c r="T23"/>
  <c r="I33" i="2"/>
  <c r="I32"/>
  <c r="I31"/>
  <c r="I30"/>
  <c r="I29"/>
  <c r="I28"/>
  <c r="I27"/>
  <c r="I26"/>
  <c r="I25"/>
  <c r="I24"/>
  <c r="I23"/>
  <c r="L37" i="1"/>
  <c r="E34" i="2"/>
  <c r="P21" i="1" s="1"/>
  <c r="E33" i="2"/>
  <c r="L23" i="1"/>
  <c r="P23" s="1"/>
  <c r="O86" l="1"/>
  <c r="O60"/>
  <c r="X21"/>
  <c r="M60"/>
  <c r="N86"/>
  <c r="X28"/>
  <c r="I22" i="2"/>
  <c r="P86" i="1"/>
  <c r="G86"/>
  <c r="L86"/>
  <c r="K60"/>
  <c r="P29"/>
  <c r="G60"/>
  <c r="B87"/>
  <c r="C87" s="1"/>
  <c r="E87" s="1"/>
  <c r="C86"/>
  <c r="E86" s="1"/>
  <c r="B85"/>
  <c r="O85" s="1"/>
  <c r="B59"/>
  <c r="O59" s="1"/>
  <c r="B61"/>
  <c r="O61" s="1"/>
  <c r="E28" i="2"/>
  <c r="E27"/>
  <c r="E26"/>
  <c r="E25"/>
  <c r="E24"/>
  <c r="E23"/>
  <c r="E22"/>
  <c r="M14" i="3"/>
  <c r="M15"/>
  <c r="M16"/>
  <c r="M17"/>
  <c r="M18"/>
  <c r="M19"/>
  <c r="M20"/>
  <c r="L15"/>
  <c r="L16"/>
  <c r="L17"/>
  <c r="L18"/>
  <c r="L19"/>
  <c r="L20"/>
  <c r="L14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H15"/>
  <c r="H16"/>
  <c r="H17"/>
  <c r="H18"/>
  <c r="H19"/>
  <c r="H20"/>
  <c r="H14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B19"/>
  <c r="B20"/>
  <c r="B15"/>
  <c r="B16"/>
  <c r="B17"/>
  <c r="B18"/>
  <c r="B14"/>
  <c r="B32"/>
  <c r="B31"/>
  <c r="B30"/>
  <c r="B29"/>
  <c r="B28"/>
  <c r="B27"/>
  <c r="P87" i="1" l="1"/>
  <c r="O87"/>
  <c r="C59"/>
  <c r="E59" s="1"/>
  <c r="L85"/>
  <c r="N85"/>
  <c r="L87"/>
  <c r="N87"/>
  <c r="P85"/>
  <c r="B88"/>
  <c r="K59"/>
  <c r="M59"/>
  <c r="K61"/>
  <c r="M61"/>
  <c r="H87"/>
  <c r="G87"/>
  <c r="B62"/>
  <c r="B63" s="1"/>
  <c r="G59"/>
  <c r="H85"/>
  <c r="G85"/>
  <c r="G61"/>
  <c r="C85"/>
  <c r="E85" s="1"/>
  <c r="B84"/>
  <c r="O84" s="1"/>
  <c r="C61"/>
  <c r="E61" s="1"/>
  <c r="B58"/>
  <c r="Y15"/>
  <c r="Y14"/>
  <c r="Y17"/>
  <c r="Y16"/>
  <c r="Y18"/>
  <c r="P13" s="1"/>
  <c r="G17" i="2"/>
  <c r="G16"/>
  <c r="F13"/>
  <c r="F14"/>
  <c r="F15"/>
  <c r="F12"/>
  <c r="F11"/>
  <c r="F10"/>
  <c r="F7"/>
  <c r="F6"/>
  <c r="E17"/>
  <c r="E15"/>
  <c r="E14"/>
  <c r="E10"/>
  <c r="E11"/>
  <c r="E9"/>
  <c r="E8"/>
  <c r="E5"/>
  <c r="E4"/>
  <c r="D16"/>
  <c r="D13"/>
  <c r="D12"/>
  <c r="D9"/>
  <c r="D8"/>
  <c r="D5"/>
  <c r="D6"/>
  <c r="D7"/>
  <c r="D4"/>
  <c r="C17"/>
  <c r="C16"/>
  <c r="C6"/>
  <c r="C7"/>
  <c r="C8"/>
  <c r="C9"/>
  <c r="C10"/>
  <c r="C11"/>
  <c r="C12"/>
  <c r="C13"/>
  <c r="C14"/>
  <c r="C15"/>
  <c r="C5"/>
  <c r="C4"/>
  <c r="C3"/>
  <c r="H3" s="1"/>
  <c r="G88" i="1" l="1"/>
  <c r="O88"/>
  <c r="L88"/>
  <c r="N88"/>
  <c r="P88"/>
  <c r="M58"/>
  <c r="O58"/>
  <c r="M62"/>
  <c r="O62"/>
  <c r="B89"/>
  <c r="C88"/>
  <c r="E88" s="1"/>
  <c r="H88"/>
  <c r="M63"/>
  <c r="O63"/>
  <c r="L84"/>
  <c r="N84"/>
  <c r="P84"/>
  <c r="H84"/>
  <c r="G84"/>
  <c r="K58"/>
  <c r="G58"/>
  <c r="H89"/>
  <c r="C62"/>
  <c r="E62" s="1"/>
  <c r="K62"/>
  <c r="G62"/>
  <c r="K63"/>
  <c r="G63"/>
  <c r="C84"/>
  <c r="E84" s="1"/>
  <c r="B83"/>
  <c r="O83" s="1"/>
  <c r="B64"/>
  <c r="C63"/>
  <c r="E63" s="1"/>
  <c r="B57"/>
  <c r="C58"/>
  <c r="E58" s="1"/>
  <c r="H12" i="2"/>
  <c r="J12" s="1"/>
  <c r="H11"/>
  <c r="J11" s="1"/>
  <c r="H10"/>
  <c r="J10" s="1"/>
  <c r="H17"/>
  <c r="J17" s="1"/>
  <c r="H4"/>
  <c r="J4" s="1"/>
  <c r="H5"/>
  <c r="J5" s="1"/>
  <c r="H6"/>
  <c r="J6" s="1"/>
  <c r="H7"/>
  <c r="J7" s="1"/>
  <c r="H13"/>
  <c r="J13" s="1"/>
  <c r="H16"/>
  <c r="J16" s="1"/>
  <c r="H14"/>
  <c r="J14" s="1"/>
  <c r="H15"/>
  <c r="J15" s="1"/>
  <c r="H9"/>
  <c r="J9" s="1"/>
  <c r="H8"/>
  <c r="J8" s="1"/>
  <c r="J3"/>
  <c r="G89" i="1" l="1"/>
  <c r="O89"/>
  <c r="M57"/>
  <c r="O57"/>
  <c r="L83"/>
  <c r="N83"/>
  <c r="P83"/>
  <c r="B90"/>
  <c r="C89"/>
  <c r="E89" s="1"/>
  <c r="M64"/>
  <c r="O64"/>
  <c r="L89"/>
  <c r="N89"/>
  <c r="P89"/>
  <c r="H83"/>
  <c r="G83"/>
  <c r="K57"/>
  <c r="G57"/>
  <c r="K64"/>
  <c r="G64"/>
  <c r="C83"/>
  <c r="E83" s="1"/>
  <c r="B82"/>
  <c r="O82" s="1"/>
  <c r="B65"/>
  <c r="C64"/>
  <c r="E64" s="1"/>
  <c r="B56"/>
  <c r="C57"/>
  <c r="E57" s="1"/>
  <c r="K8" i="2"/>
  <c r="K6"/>
  <c r="K4"/>
  <c r="K3"/>
  <c r="K5"/>
  <c r="K7"/>
  <c r="K13"/>
  <c r="K10"/>
  <c r="K16"/>
  <c r="K11"/>
  <c r="K14"/>
  <c r="K12"/>
  <c r="K15"/>
  <c r="K17"/>
  <c r="K9"/>
  <c r="G90" i="1" l="1"/>
  <c r="O90"/>
  <c r="B91"/>
  <c r="O91" s="1"/>
  <c r="C90"/>
  <c r="E90" s="1"/>
  <c r="L90"/>
  <c r="N90"/>
  <c r="P90"/>
  <c r="M56"/>
  <c r="O56"/>
  <c r="M65"/>
  <c r="O65"/>
  <c r="L82"/>
  <c r="N82"/>
  <c r="P82"/>
  <c r="H90"/>
  <c r="H82"/>
  <c r="G82"/>
  <c r="K56"/>
  <c r="G56"/>
  <c r="K65"/>
  <c r="G65"/>
  <c r="C82"/>
  <c r="E82" s="1"/>
  <c r="B81"/>
  <c r="O81" s="1"/>
  <c r="B66"/>
  <c r="C65"/>
  <c r="E65" s="1"/>
  <c r="B55"/>
  <c r="C56"/>
  <c r="E56" s="1"/>
  <c r="H18" i="2"/>
  <c r="M82" i="1" s="1"/>
  <c r="L91" l="1"/>
  <c r="M91" s="1"/>
  <c r="C91"/>
  <c r="E91" s="1"/>
  <c r="G91"/>
  <c r="P91"/>
  <c r="B92"/>
  <c r="O92" s="1"/>
  <c r="H91"/>
  <c r="N91"/>
  <c r="L81"/>
  <c r="N81"/>
  <c r="M81"/>
  <c r="P81"/>
  <c r="M55"/>
  <c r="N55" s="1"/>
  <c r="O55"/>
  <c r="M66"/>
  <c r="N66" s="1"/>
  <c r="O66"/>
  <c r="M83"/>
  <c r="M85"/>
  <c r="M87"/>
  <c r="M89"/>
  <c r="N56"/>
  <c r="N58"/>
  <c r="N60"/>
  <c r="N62"/>
  <c r="N64"/>
  <c r="M84"/>
  <c r="M86"/>
  <c r="M88"/>
  <c r="M90"/>
  <c r="N57"/>
  <c r="N59"/>
  <c r="N61"/>
  <c r="N63"/>
  <c r="N65"/>
  <c r="L16"/>
  <c r="N37" s="1"/>
  <c r="K55"/>
  <c r="G55"/>
  <c r="K66"/>
  <c r="G66"/>
  <c r="H81"/>
  <c r="G81"/>
  <c r="C81"/>
  <c r="B80"/>
  <c r="O80" s="1"/>
  <c r="B67"/>
  <c r="C66"/>
  <c r="E66" s="1"/>
  <c r="B54"/>
  <c r="C55"/>
  <c r="E55" s="1"/>
  <c r="E32" i="2"/>
  <c r="L29" i="1" s="1"/>
  <c r="L13"/>
  <c r="L15"/>
  <c r="H92" l="1"/>
  <c r="B93"/>
  <c r="O93" s="1"/>
  <c r="N92"/>
  <c r="C92"/>
  <c r="E92" s="1"/>
  <c r="G92"/>
  <c r="P92"/>
  <c r="L92"/>
  <c r="M92" s="1"/>
  <c r="M54"/>
  <c r="N54" s="1"/>
  <c r="O54"/>
  <c r="M67"/>
  <c r="N67" s="1"/>
  <c r="O67"/>
  <c r="L93"/>
  <c r="M93" s="1"/>
  <c r="L80"/>
  <c r="N80"/>
  <c r="M80"/>
  <c r="P80"/>
  <c r="K54"/>
  <c r="G54"/>
  <c r="K67"/>
  <c r="G67"/>
  <c r="H80"/>
  <c r="G80"/>
  <c r="E81"/>
  <c r="C80"/>
  <c r="E80" s="1"/>
  <c r="B79"/>
  <c r="O79" s="1"/>
  <c r="B53"/>
  <c r="C54"/>
  <c r="E54" s="1"/>
  <c r="B68"/>
  <c r="C67"/>
  <c r="E67" s="1"/>
  <c r="T22"/>
  <c r="T29"/>
  <c r="L22"/>
  <c r="N25" s="1"/>
  <c r="B94" l="1"/>
  <c r="O94" s="1"/>
  <c r="C93"/>
  <c r="E93" s="1"/>
  <c r="F93" s="1"/>
  <c r="G93"/>
  <c r="P93"/>
  <c r="H93"/>
  <c r="N93"/>
  <c r="Q80"/>
  <c r="Q82"/>
  <c r="Q84"/>
  <c r="Q86"/>
  <c r="Q88"/>
  <c r="Q90"/>
  <c r="Q92"/>
  <c r="Q81"/>
  <c r="Q83"/>
  <c r="Q85"/>
  <c r="Q87"/>
  <c r="Q89"/>
  <c r="Q91"/>
  <c r="Q93"/>
  <c r="T80"/>
  <c r="T82"/>
  <c r="T84"/>
  <c r="T86"/>
  <c r="T88"/>
  <c r="T90"/>
  <c r="T92"/>
  <c r="T81"/>
  <c r="T83"/>
  <c r="T85"/>
  <c r="T87"/>
  <c r="T89"/>
  <c r="T91"/>
  <c r="T93"/>
  <c r="R54"/>
  <c r="R56"/>
  <c r="R58"/>
  <c r="R60"/>
  <c r="R62"/>
  <c r="R64"/>
  <c r="R66"/>
  <c r="U32"/>
  <c r="W32" s="1"/>
  <c r="R55"/>
  <c r="R57"/>
  <c r="R59"/>
  <c r="R61"/>
  <c r="R63"/>
  <c r="R65"/>
  <c r="R67"/>
  <c r="P54"/>
  <c r="P56"/>
  <c r="P58"/>
  <c r="P60"/>
  <c r="P62"/>
  <c r="P64"/>
  <c r="P66"/>
  <c r="U25"/>
  <c r="W25" s="1"/>
  <c r="P55"/>
  <c r="P57"/>
  <c r="P59"/>
  <c r="P61"/>
  <c r="P63"/>
  <c r="P65"/>
  <c r="P67"/>
  <c r="L79"/>
  <c r="N79"/>
  <c r="Q79" s="1"/>
  <c r="M79"/>
  <c r="P79"/>
  <c r="T79" s="1"/>
  <c r="L94"/>
  <c r="M94" s="1"/>
  <c r="M68"/>
  <c r="O68"/>
  <c r="R68" s="1"/>
  <c r="N68"/>
  <c r="M53"/>
  <c r="O53"/>
  <c r="R53" s="1"/>
  <c r="N53"/>
  <c r="H79"/>
  <c r="G79"/>
  <c r="K68"/>
  <c r="G68"/>
  <c r="K53"/>
  <c r="G53"/>
  <c r="F86"/>
  <c r="F87"/>
  <c r="F85"/>
  <c r="F88"/>
  <c r="F84"/>
  <c r="F89"/>
  <c r="F83"/>
  <c r="F90"/>
  <c r="F82"/>
  <c r="F91"/>
  <c r="F92"/>
  <c r="F80"/>
  <c r="F81"/>
  <c r="C79"/>
  <c r="E79" s="1"/>
  <c r="B78"/>
  <c r="O78" s="1"/>
  <c r="P30"/>
  <c r="H54" s="1"/>
  <c r="L54" s="1"/>
  <c r="F58"/>
  <c r="F57"/>
  <c r="F56"/>
  <c r="F55"/>
  <c r="B69"/>
  <c r="C68"/>
  <c r="E68" s="1"/>
  <c r="B52"/>
  <c r="C53"/>
  <c r="E53" s="1"/>
  <c r="F54"/>
  <c r="F60"/>
  <c r="F62"/>
  <c r="F64"/>
  <c r="F66"/>
  <c r="F59"/>
  <c r="F61"/>
  <c r="F63"/>
  <c r="F65"/>
  <c r="F67"/>
  <c r="P25"/>
  <c r="G94" l="1"/>
  <c r="P94"/>
  <c r="B95"/>
  <c r="O95" s="1"/>
  <c r="C94"/>
  <c r="E94" s="1"/>
  <c r="H94"/>
  <c r="N94"/>
  <c r="Q94" s="1"/>
  <c r="H67"/>
  <c r="L67" s="1"/>
  <c r="T94"/>
  <c r="P53"/>
  <c r="P68"/>
  <c r="M52"/>
  <c r="O52"/>
  <c r="N52"/>
  <c r="M69"/>
  <c r="O69"/>
  <c r="N69"/>
  <c r="N95"/>
  <c r="Q95" s="1"/>
  <c r="L78"/>
  <c r="N78"/>
  <c r="Q78" s="1"/>
  <c r="M78"/>
  <c r="P78"/>
  <c r="T78" s="1"/>
  <c r="H53"/>
  <c r="L53" s="1"/>
  <c r="H68"/>
  <c r="L68" s="1"/>
  <c r="K52"/>
  <c r="G52"/>
  <c r="H52" s="1"/>
  <c r="K69"/>
  <c r="G69"/>
  <c r="H69" s="1"/>
  <c r="H78"/>
  <c r="G78"/>
  <c r="F79"/>
  <c r="C78"/>
  <c r="E78" s="1"/>
  <c r="F78" s="1"/>
  <c r="F68"/>
  <c r="B77"/>
  <c r="O77" s="1"/>
  <c r="F94"/>
  <c r="P31"/>
  <c r="H60"/>
  <c r="L60" s="1"/>
  <c r="H62"/>
  <c r="L62" s="1"/>
  <c r="H61"/>
  <c r="L61" s="1"/>
  <c r="H59"/>
  <c r="L59" s="1"/>
  <c r="H58"/>
  <c r="L58" s="1"/>
  <c r="H63"/>
  <c r="L63" s="1"/>
  <c r="H64"/>
  <c r="L64" s="1"/>
  <c r="H57"/>
  <c r="L57" s="1"/>
  <c r="H65"/>
  <c r="L65" s="1"/>
  <c r="H56"/>
  <c r="L56" s="1"/>
  <c r="H55"/>
  <c r="L55" s="1"/>
  <c r="H66"/>
  <c r="L66" s="1"/>
  <c r="B70"/>
  <c r="C69"/>
  <c r="E69" s="1"/>
  <c r="B51"/>
  <c r="C52"/>
  <c r="E52" s="1"/>
  <c r="F53"/>
  <c r="B96" l="1"/>
  <c r="O96" s="1"/>
  <c r="H95"/>
  <c r="C95"/>
  <c r="E95" s="1"/>
  <c r="G95"/>
  <c r="P95"/>
  <c r="L95"/>
  <c r="M95" s="1"/>
  <c r="T95"/>
  <c r="R69"/>
  <c r="P69"/>
  <c r="R52"/>
  <c r="P52"/>
  <c r="L69"/>
  <c r="L52"/>
  <c r="F69"/>
  <c r="L77"/>
  <c r="N77"/>
  <c r="Q77" s="1"/>
  <c r="M77"/>
  <c r="P77"/>
  <c r="T77" s="1"/>
  <c r="L96"/>
  <c r="M96" s="1"/>
  <c r="M51"/>
  <c r="O51"/>
  <c r="N51"/>
  <c r="M70"/>
  <c r="O70"/>
  <c r="N70"/>
  <c r="K70"/>
  <c r="G70"/>
  <c r="H70" s="1"/>
  <c r="K51"/>
  <c r="G51"/>
  <c r="H51" s="1"/>
  <c r="H77"/>
  <c r="G77"/>
  <c r="K79"/>
  <c r="K83"/>
  <c r="K87"/>
  <c r="K91"/>
  <c r="K95"/>
  <c r="K80"/>
  <c r="K84"/>
  <c r="K88"/>
  <c r="K92"/>
  <c r="K81"/>
  <c r="K85"/>
  <c r="K89"/>
  <c r="K93"/>
  <c r="K78"/>
  <c r="K82"/>
  <c r="K86"/>
  <c r="K90"/>
  <c r="K94"/>
  <c r="N33"/>
  <c r="P33" s="1"/>
  <c r="C77"/>
  <c r="E77" s="1"/>
  <c r="F77" s="1"/>
  <c r="B76"/>
  <c r="O76" s="1"/>
  <c r="C70"/>
  <c r="E70" s="1"/>
  <c r="F70" s="1"/>
  <c r="F52"/>
  <c r="B50"/>
  <c r="C51"/>
  <c r="E51" s="1"/>
  <c r="G96" l="1"/>
  <c r="P96"/>
  <c r="F95"/>
  <c r="C96"/>
  <c r="E96" s="1"/>
  <c r="F96" s="1"/>
  <c r="H96"/>
  <c r="K96" s="1"/>
  <c r="N96"/>
  <c r="Q96" s="1"/>
  <c r="L70"/>
  <c r="R70"/>
  <c r="P70"/>
  <c r="P51"/>
  <c r="R51"/>
  <c r="M50"/>
  <c r="O50"/>
  <c r="N50"/>
  <c r="K77"/>
  <c r="L51"/>
  <c r="L76"/>
  <c r="N76"/>
  <c r="Q76" s="1"/>
  <c r="M76"/>
  <c r="P76"/>
  <c r="T76" s="1"/>
  <c r="H76"/>
  <c r="G76"/>
  <c r="K50"/>
  <c r="G50"/>
  <c r="C76"/>
  <c r="E76" s="1"/>
  <c r="F76" s="1"/>
  <c r="C50"/>
  <c r="E50" s="1"/>
  <c r="F51"/>
  <c r="T96" l="1"/>
  <c r="P50"/>
  <c r="R50"/>
  <c r="K76"/>
  <c r="F50"/>
  <c r="H50"/>
  <c r="L50" s="1"/>
</calcChain>
</file>

<file path=xl/comments1.xml><?xml version="1.0" encoding="utf-8"?>
<comments xmlns="http://schemas.openxmlformats.org/spreadsheetml/2006/main">
  <authors>
    <author>David Lister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David Lister:</t>
        </r>
        <r>
          <rPr>
            <sz val="9"/>
            <color indexed="81"/>
            <rFont val="Tahoma"/>
            <family val="2"/>
          </rPr>
          <t xml:space="preserve">
This is the shear at a distance d from the support</t>
        </r>
      </text>
    </comment>
  </commentList>
</comments>
</file>

<file path=xl/sharedStrings.xml><?xml version="1.0" encoding="utf-8"?>
<sst xmlns="http://schemas.openxmlformats.org/spreadsheetml/2006/main" count="268" uniqueCount="182">
  <si>
    <t>1.4D</t>
  </si>
  <si>
    <t>0.9D + 1.5L + 0.5S</t>
  </si>
  <si>
    <t>1.25D + 1.5L + 0.5S</t>
  </si>
  <si>
    <t>1.25D + 1.5S + 0.5L</t>
  </si>
  <si>
    <t>0.9D + 1.5S + 0.5L</t>
  </si>
  <si>
    <t>1.25D + 1.5L + 0.4W</t>
  </si>
  <si>
    <t>0.9D + 1.5L + 0.4W</t>
  </si>
  <si>
    <t>1.25D + 1.5S + 0.4W</t>
  </si>
  <si>
    <t>0.9D + 1.5S + 0.4W</t>
  </si>
  <si>
    <t>1.25D + 1.4W + 0.5L</t>
  </si>
  <si>
    <t>0.9D + 1.4W + 0.5L</t>
  </si>
  <si>
    <t>1.25D + 1.4W + 0.5S</t>
  </si>
  <si>
    <t>0.9D + 1.4W + 0.5S</t>
  </si>
  <si>
    <t>Load Combo</t>
  </si>
  <si>
    <t>Dead</t>
  </si>
  <si>
    <t>Live</t>
  </si>
  <si>
    <t>Snow</t>
  </si>
  <si>
    <t>Wind</t>
  </si>
  <si>
    <t>EQ</t>
  </si>
  <si>
    <t>Total</t>
  </si>
  <si>
    <t>Kd</t>
  </si>
  <si>
    <t>1.0D + 1.0E + 0.5L</t>
  </si>
  <si>
    <t>1.0D + 1.0E + 0.25S</t>
  </si>
  <si>
    <t>Loading</t>
  </si>
  <si>
    <t>Unfactored Loading</t>
  </si>
  <si>
    <t>Dead =</t>
  </si>
  <si>
    <t>Live =</t>
  </si>
  <si>
    <t>Snow =</t>
  </si>
  <si>
    <t>Wind =</t>
  </si>
  <si>
    <t>Earthquake =</t>
  </si>
  <si>
    <t>Load/Kd</t>
  </si>
  <si>
    <t>Factored Load =</t>
  </si>
  <si>
    <t>Input Values</t>
  </si>
  <si>
    <t>or</t>
  </si>
  <si>
    <t>Factored Loading</t>
  </si>
  <si>
    <t>Load =</t>
  </si>
  <si>
    <t>Treatment =</t>
  </si>
  <si>
    <t>System Factor =</t>
  </si>
  <si>
    <t>K Factors</t>
  </si>
  <si>
    <t>Condition =</t>
  </si>
  <si>
    <t>Wet</t>
  </si>
  <si>
    <t>Condition</t>
  </si>
  <si>
    <t>Dry</t>
  </si>
  <si>
    <t>Unchanged</t>
  </si>
  <si>
    <t>kN/m</t>
  </si>
  <si>
    <t>Case</t>
  </si>
  <si>
    <r>
      <t xml:space="preserve">Logitudinal Shear, </t>
    </r>
    <r>
      <rPr>
        <i/>
        <sz val="11"/>
        <color theme="1"/>
        <rFont val="Calibri"/>
        <family val="2"/>
        <scheme val="minor"/>
      </rPr>
      <t>fv</t>
    </r>
  </si>
  <si>
    <r>
      <t xml:space="preserve">Bending Moment (neg.), </t>
    </r>
    <r>
      <rPr>
        <i/>
        <sz val="11"/>
        <color theme="1"/>
        <rFont val="Calibri"/>
        <family val="2"/>
        <scheme val="minor"/>
      </rPr>
      <t>fb</t>
    </r>
  </si>
  <si>
    <r>
      <t xml:space="preserve">Bending Moment (pos.), </t>
    </r>
    <r>
      <rPr>
        <i/>
        <sz val="11"/>
        <color theme="1"/>
        <rFont val="Calibri"/>
        <family val="2"/>
        <scheme val="minor"/>
      </rPr>
      <t>fb</t>
    </r>
  </si>
  <si>
    <r>
      <t xml:space="preserve">Compression Perpendicular Comp. Face, </t>
    </r>
    <r>
      <rPr>
        <i/>
        <sz val="11"/>
        <color theme="1"/>
        <rFont val="Calibri"/>
        <family val="2"/>
        <scheme val="minor"/>
      </rPr>
      <t>fcp</t>
    </r>
  </si>
  <si>
    <r>
      <t xml:space="preserve">Compression Perpendicular Tension Face, </t>
    </r>
    <r>
      <rPr>
        <i/>
        <sz val="11"/>
        <color theme="1"/>
        <rFont val="Calibri"/>
        <family val="2"/>
        <scheme val="minor"/>
      </rPr>
      <t>fcp</t>
    </r>
  </si>
  <si>
    <r>
      <t xml:space="preserve">Modulus of Elasticity, </t>
    </r>
    <r>
      <rPr>
        <i/>
        <sz val="11"/>
        <color theme="1"/>
        <rFont val="Calibri"/>
        <family val="2"/>
        <scheme val="minor"/>
      </rPr>
      <t>E</t>
    </r>
  </si>
  <si>
    <t>24f-E</t>
  </si>
  <si>
    <t>24f-EX</t>
  </si>
  <si>
    <t>20f-E</t>
  </si>
  <si>
    <t>20f-EX</t>
  </si>
  <si>
    <t>18t-E</t>
  </si>
  <si>
    <t>16c-E</t>
  </si>
  <si>
    <t>Douglas Fir-Larch</t>
  </si>
  <si>
    <t>Spruce-Lodgepole Pine-Jack Pine</t>
  </si>
  <si>
    <t>14t-E</t>
  </si>
  <si>
    <t>12c-E</t>
  </si>
  <si>
    <t>Hem-Fir and Douglas Fir-Larch</t>
  </si>
  <si>
    <t>24-EX</t>
  </si>
  <si>
    <r>
      <t xml:space="preserve">Tension Perpendicular to Grain, </t>
    </r>
    <r>
      <rPr>
        <i/>
        <sz val="11"/>
        <color theme="1"/>
        <rFont val="Calibri"/>
        <family val="2"/>
        <scheme val="minor"/>
      </rPr>
      <t>ftp</t>
    </r>
  </si>
  <si>
    <t>Value Used</t>
  </si>
  <si>
    <t>Species</t>
  </si>
  <si>
    <t>Grades</t>
  </si>
  <si>
    <t>Member Grades</t>
  </si>
  <si>
    <t>Species =</t>
  </si>
  <si>
    <t>Grade =</t>
  </si>
  <si>
    <t>mm</t>
  </si>
  <si>
    <t>kN</t>
  </si>
  <si>
    <t>Green boxes are inputs, enter data</t>
  </si>
  <si>
    <t>Red boxes are calculated values or given values</t>
  </si>
  <si>
    <t>Calculated Values</t>
  </si>
  <si>
    <t>E =</t>
  </si>
  <si>
    <t>mm^4</t>
  </si>
  <si>
    <t>mm^2</t>
  </si>
  <si>
    <t>φ =</t>
  </si>
  <si>
    <r>
      <t>K</t>
    </r>
    <r>
      <rPr>
        <b/>
        <sz val="8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</t>
    </r>
  </si>
  <si>
    <r>
      <t>K</t>
    </r>
    <r>
      <rPr>
        <b/>
        <sz val="8"/>
        <color theme="1"/>
        <rFont val="Calibri"/>
        <family val="2"/>
        <scheme val="minor"/>
      </rPr>
      <t xml:space="preserve">sb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</si>
  <si>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 xml:space="preserve">sv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</si>
  <si>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 xml:space="preserve">sc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</si>
  <si>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 xml:space="preserve">scp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</si>
  <si>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</si>
  <si>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 xml:space="preserve">stp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</si>
  <si>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 xml:space="preserve">se </t>
    </r>
    <r>
      <rPr>
        <b/>
        <sz val="11"/>
        <color theme="1"/>
        <rFont val="Calibri"/>
        <family val="2"/>
        <scheme val="minor"/>
      </rPr>
      <t>=</t>
    </r>
  </si>
  <si>
    <r>
      <t>K</t>
    </r>
    <r>
      <rPr>
        <b/>
        <i/>
        <sz val="8"/>
        <color theme="1"/>
        <rFont val="Calibri"/>
        <family val="2"/>
        <scheme val="minor"/>
      </rPr>
      <t>t</t>
    </r>
    <r>
      <rPr>
        <b/>
        <i/>
        <sz val="11"/>
        <color theme="1"/>
        <rFont val="Calibri"/>
        <family val="2"/>
        <scheme val="minor"/>
      </rPr>
      <t>=</t>
    </r>
  </si>
  <si>
    <r>
      <t>K</t>
    </r>
    <r>
      <rPr>
        <b/>
        <sz val="8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=</t>
    </r>
  </si>
  <si>
    <t>System Factor</t>
  </si>
  <si>
    <t>No System Effect</t>
  </si>
  <si>
    <t>3 or more // &lt; 610 mm apart</t>
  </si>
  <si>
    <t>MPa</t>
  </si>
  <si>
    <r>
      <t>K</t>
    </r>
    <r>
      <rPr>
        <sz val="8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</si>
  <si>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b/>
        <sz val="8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</t>
    </r>
  </si>
  <si>
    <r>
      <t>A</t>
    </r>
    <r>
      <rPr>
        <b/>
        <sz val="8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=</t>
    </r>
  </si>
  <si>
    <r>
      <t>F</t>
    </r>
    <r>
      <rPr>
        <b/>
        <sz val="8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=</t>
    </r>
  </si>
  <si>
    <r>
      <t>Δ</t>
    </r>
    <r>
      <rPr>
        <b/>
        <sz val="8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=</t>
    </r>
  </si>
  <si>
    <r>
      <t>M</t>
    </r>
    <r>
      <rPr>
        <b/>
        <sz val="8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</t>
    </r>
  </si>
  <si>
    <r>
      <t>V</t>
    </r>
    <r>
      <rPr>
        <b/>
        <sz val="8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</t>
    </r>
  </si>
  <si>
    <t>Z =</t>
  </si>
  <si>
    <t>Shear Resistance - §6.5.7</t>
  </si>
  <si>
    <t>m^3</t>
  </si>
  <si>
    <r>
      <t>C</t>
    </r>
    <r>
      <rPr>
        <b/>
        <sz val="8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=</t>
    </r>
  </si>
  <si>
    <t>Length of Compression Notch e =</t>
  </si>
  <si>
    <t>Factor</t>
  </si>
  <si>
    <t>Value</t>
  </si>
  <si>
    <r>
      <t>K</t>
    </r>
    <r>
      <rPr>
        <b/>
        <i/>
        <sz val="8"/>
        <color theme="1"/>
        <rFont val="Calibri"/>
        <family val="2"/>
        <scheme val="minor"/>
      </rPr>
      <t>s</t>
    </r>
  </si>
  <si>
    <r>
      <t>Depth of Compression notch d</t>
    </r>
    <r>
      <rPr>
        <sz val="8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</t>
    </r>
  </si>
  <si>
    <r>
      <t>Depth of Tension notch d</t>
    </r>
    <r>
      <rPr>
        <sz val="8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</t>
    </r>
  </si>
  <si>
    <t>Depth h =</t>
  </si>
  <si>
    <t>Length l =</t>
  </si>
  <si>
    <r>
      <t>V</t>
    </r>
    <r>
      <rPr>
        <b/>
        <sz val="8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=</t>
    </r>
  </si>
  <si>
    <r>
      <t>F</t>
    </r>
    <r>
      <rPr>
        <b/>
        <sz val="8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</t>
    </r>
  </si>
  <si>
    <t>mm^3</t>
  </si>
  <si>
    <r>
      <t>K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=</t>
    </r>
  </si>
  <si>
    <r>
      <t>K</t>
    </r>
    <r>
      <rPr>
        <b/>
        <sz val="8"/>
        <color theme="1"/>
        <rFont val="Calibri"/>
        <family val="2"/>
        <scheme val="minor"/>
      </rPr>
      <t>Zbg</t>
    </r>
    <r>
      <rPr>
        <b/>
        <sz val="11"/>
        <color theme="1"/>
        <rFont val="Calibri"/>
        <family val="2"/>
        <scheme val="minor"/>
      </rPr>
      <t xml:space="preserve"> =</t>
    </r>
  </si>
  <si>
    <r>
      <t>K</t>
    </r>
    <r>
      <rPr>
        <b/>
        <sz val="8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=</t>
    </r>
  </si>
  <si>
    <r>
      <t>C</t>
    </r>
    <r>
      <rPr>
        <b/>
        <sz val="8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</t>
    </r>
  </si>
  <si>
    <t>Width (b) w =</t>
  </si>
  <si>
    <t>Purlin Spacing =</t>
  </si>
  <si>
    <t>Moment Resistance - §6.5.6.5</t>
  </si>
  <si>
    <r>
      <t xml:space="preserve">Compression Perpendicular Tens. Face, </t>
    </r>
    <r>
      <rPr>
        <i/>
        <sz val="11"/>
        <color theme="1"/>
        <rFont val="Calibri"/>
        <family val="2"/>
        <scheme val="minor"/>
      </rPr>
      <t>fcp</t>
    </r>
  </si>
  <si>
    <r>
      <t>C</t>
    </r>
    <r>
      <rPr>
        <b/>
        <sz val="8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=</t>
    </r>
  </si>
  <si>
    <r>
      <t>V</t>
    </r>
    <r>
      <rPr>
        <b/>
        <sz val="8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</t>
    </r>
  </si>
  <si>
    <t>Beam Conditions</t>
  </si>
  <si>
    <r>
      <t>Δ</t>
    </r>
    <r>
      <rPr>
        <b/>
        <sz val="11"/>
        <color theme="1"/>
        <rFont val="Calibri"/>
        <family val="2"/>
        <scheme val="minor"/>
      </rPr>
      <t xml:space="preserve"> =</t>
    </r>
  </si>
  <si>
    <t>Diflection - §4.5.2</t>
  </si>
  <si>
    <r>
      <t>K</t>
    </r>
    <r>
      <rPr>
        <b/>
        <sz val="8"/>
        <color theme="1"/>
        <rFont val="Calibri"/>
        <family val="2"/>
        <scheme val="minor"/>
      </rPr>
      <t>ZCP</t>
    </r>
    <r>
      <rPr>
        <b/>
        <sz val="11"/>
        <color theme="1"/>
        <rFont val="Calibri"/>
        <family val="2"/>
        <scheme val="minor"/>
      </rPr>
      <t xml:space="preserve"> =</t>
    </r>
  </si>
  <si>
    <r>
      <t>K</t>
    </r>
    <r>
      <rPr>
        <sz val="8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</t>
    </r>
  </si>
  <si>
    <r>
      <t>Length of Support Bearing Surface  l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</si>
  <si>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b/>
        <sz val="8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</t>
    </r>
  </si>
  <si>
    <t>Between</t>
  </si>
  <si>
    <t>Compressive Resistance For All Applied Loads - §6.5.9.2</t>
  </si>
  <si>
    <r>
      <t>Q</t>
    </r>
    <r>
      <rPr>
        <sz val="8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</si>
  <si>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b/>
        <sz val="8"/>
        <color theme="1"/>
        <rFont val="Calibri"/>
        <family val="2"/>
        <scheme val="minor"/>
      </rPr>
      <t>cp</t>
    </r>
    <r>
      <rPr>
        <b/>
        <sz val="11"/>
        <color theme="1"/>
        <rFont val="Calibri"/>
        <family val="2"/>
        <scheme val="minor"/>
      </rPr>
      <t xml:space="preserve"> =</t>
    </r>
  </si>
  <si>
    <r>
      <t>A'</t>
    </r>
    <r>
      <rPr>
        <b/>
        <sz val="8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</t>
    </r>
  </si>
  <si>
    <t>Compressive Resistance Near Supports - §6.5.9.3</t>
  </si>
  <si>
    <r>
      <t>K</t>
    </r>
    <r>
      <rPr>
        <sz val="8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</si>
  <si>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t>0.65 - Long Term</t>
  </si>
  <si>
    <t>1.00 - Standard Term</t>
  </si>
  <si>
    <t>1.15 - Short Term</t>
  </si>
  <si>
    <t>- this assumes the UDL within the distance d from the support is approximated as a a point load.</t>
  </si>
  <si>
    <t>Simply Supported Glulam Beam with a UDL</t>
  </si>
  <si>
    <t>For Educational Purposes Only - Not for use as a design aid</t>
  </si>
  <si>
    <t>h</t>
  </si>
  <si>
    <r>
      <t>M</t>
    </r>
    <r>
      <rPr>
        <b/>
        <sz val="8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</t>
    </r>
  </si>
  <si>
    <t>Δ</t>
  </si>
  <si>
    <t>Z (m^3)</t>
  </si>
  <si>
    <r>
      <t>V</t>
    </r>
    <r>
      <rPr>
        <b/>
        <sz val="8"/>
        <color theme="1"/>
        <rFont val="Calibri"/>
        <family val="2"/>
        <scheme val="minor"/>
      </rPr>
      <t>r</t>
    </r>
  </si>
  <si>
    <r>
      <t>A</t>
    </r>
    <r>
      <rPr>
        <b/>
        <sz val="8"/>
        <color theme="1"/>
        <rFont val="Calibri"/>
        <family val="2"/>
        <scheme val="minor"/>
      </rPr>
      <t xml:space="preserve">g </t>
    </r>
    <r>
      <rPr>
        <b/>
        <sz val="11"/>
        <color theme="1"/>
        <rFont val="Calibri"/>
        <family val="2"/>
        <scheme val="minor"/>
      </rPr>
      <t>(mm^2)</t>
    </r>
  </si>
  <si>
    <r>
      <t>M</t>
    </r>
    <r>
      <rPr>
        <b/>
        <sz val="8"/>
        <color theme="1"/>
        <rFont val="Calibri"/>
        <family val="2"/>
        <scheme val="minor"/>
      </rPr>
      <t>r</t>
    </r>
  </si>
  <si>
    <r>
      <t>K</t>
    </r>
    <r>
      <rPr>
        <b/>
        <sz val="8"/>
        <color theme="1"/>
        <rFont val="Calibri"/>
        <family val="2"/>
        <scheme val="minor"/>
      </rPr>
      <t>Zbg</t>
    </r>
  </si>
  <si>
    <r>
      <t>K</t>
    </r>
    <r>
      <rPr>
        <b/>
        <sz val="8"/>
        <color theme="1"/>
        <rFont val="Calibri"/>
        <family val="2"/>
        <scheme val="minor"/>
      </rPr>
      <t>L</t>
    </r>
  </si>
  <si>
    <r>
      <t>C</t>
    </r>
    <r>
      <rPr>
        <b/>
        <sz val="8"/>
        <color theme="1"/>
        <rFont val="Calibri"/>
        <family val="2"/>
        <scheme val="minor"/>
      </rPr>
      <t>B</t>
    </r>
  </si>
  <si>
    <r>
      <t>Mpa - E = E*Kse*K</t>
    </r>
    <r>
      <rPr>
        <sz val="8"/>
        <color theme="1"/>
        <rFont val="Calibri"/>
        <family val="2"/>
        <scheme val="minor"/>
      </rPr>
      <t>T</t>
    </r>
  </si>
  <si>
    <t>kN-m</t>
  </si>
  <si>
    <r>
      <t>L</t>
    </r>
    <r>
      <rPr>
        <sz val="8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</si>
  <si>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t>b</t>
  </si>
  <si>
    <t>S</t>
  </si>
  <si>
    <r>
      <t>I</t>
    </r>
    <r>
      <rPr>
        <b/>
        <sz val="8"/>
        <color theme="1"/>
        <rFont val="Calibri"/>
        <family val="2"/>
        <scheme val="minor"/>
      </rPr>
      <t>x</t>
    </r>
  </si>
  <si>
    <r>
      <t>I</t>
    </r>
    <r>
      <rPr>
        <b/>
        <sz val="8"/>
        <color theme="1"/>
        <rFont val="Calibri"/>
        <family val="2"/>
        <scheme val="minor"/>
      </rPr>
      <t xml:space="preserve">x </t>
    </r>
    <r>
      <rPr>
        <b/>
        <sz val="11"/>
        <color theme="1"/>
        <rFont val="Calibri"/>
        <family val="2"/>
        <scheme val="minor"/>
      </rPr>
      <t>=</t>
    </r>
  </si>
  <si>
    <r>
      <t>S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=</t>
    </r>
  </si>
  <si>
    <t>Δ (mm)</t>
  </si>
  <si>
    <r>
      <t>M</t>
    </r>
    <r>
      <rPr>
        <b/>
        <sz val="8"/>
        <color theme="1"/>
        <rFont val="Calibri"/>
        <family val="2"/>
        <scheme val="minor"/>
      </rPr>
      <t xml:space="preserve">r </t>
    </r>
    <r>
      <rPr>
        <b/>
        <sz val="11"/>
        <color theme="1"/>
        <rFont val="Calibri"/>
        <family val="2"/>
        <scheme val="minor"/>
      </rPr>
      <t>(kN-m)</t>
    </r>
  </si>
  <si>
    <r>
      <t>K</t>
    </r>
    <r>
      <rPr>
        <b/>
        <sz val="8"/>
        <color theme="1"/>
        <rFont val="Calibri"/>
        <family val="2"/>
        <scheme val="minor"/>
      </rPr>
      <t>b</t>
    </r>
  </si>
  <si>
    <r>
      <t>K</t>
    </r>
    <r>
      <rPr>
        <b/>
        <sz val="8"/>
        <color theme="1"/>
        <rFont val="Calibri"/>
        <family val="2"/>
        <scheme val="minor"/>
      </rPr>
      <t>ZCP</t>
    </r>
  </si>
  <si>
    <r>
      <t>A'</t>
    </r>
    <r>
      <rPr>
        <b/>
        <sz val="8"/>
        <color theme="1"/>
        <rFont val="Calibri"/>
        <family val="2"/>
        <scheme val="minor"/>
      </rPr>
      <t>b</t>
    </r>
  </si>
  <si>
    <r>
      <t>Q</t>
    </r>
    <r>
      <rPr>
        <b/>
        <sz val="8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(all) (kN)</t>
    </r>
  </si>
  <si>
    <r>
      <t>Q</t>
    </r>
    <r>
      <rPr>
        <b/>
        <sz val="8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</si>
  <si>
    <r>
      <t>Q</t>
    </r>
    <r>
      <rPr>
        <b/>
        <sz val="8"/>
        <color theme="1"/>
        <rFont val="Calibri"/>
        <family val="2"/>
        <scheme val="minor"/>
      </rPr>
      <t xml:space="preserve">r </t>
    </r>
  </si>
  <si>
    <r>
      <t>A</t>
    </r>
    <r>
      <rPr>
        <b/>
        <sz val="8"/>
        <color theme="1"/>
        <rFont val="Calibri"/>
        <family val="2"/>
        <scheme val="minor"/>
      </rPr>
      <t>b</t>
    </r>
  </si>
  <si>
    <t>Change In Resistance Due to Varying Width (b)</t>
  </si>
  <si>
    <t>Change In Resistance Due to Varying Depth (d)</t>
  </si>
  <si>
    <r>
      <t>Q</t>
    </r>
    <r>
      <rPr>
        <b/>
        <sz val="8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(support) (kN)</t>
    </r>
  </si>
  <si>
    <r>
      <t>V</t>
    </r>
    <r>
      <rPr>
        <b/>
        <sz val="8"/>
        <color theme="1"/>
        <rFont val="Calibri"/>
        <family val="2"/>
        <scheme val="minor"/>
      </rPr>
      <t xml:space="preserve">r </t>
    </r>
    <r>
      <rPr>
        <b/>
        <sz val="11"/>
        <color theme="1"/>
        <rFont val="Calibri"/>
        <family val="2"/>
        <scheme val="minor"/>
      </rPr>
      <t>(kN)</t>
    </r>
  </si>
  <si>
    <t>Design equations and values from Wood Design Code: Canadian Standards Association (CSA) (2010) O86-09 Engineering design in wood (with Update No.1). 
Mississauga, ON: Canadian Standards Association</t>
  </si>
  <si>
    <t>- This assumes there is no curvature in the beam Kx = 1</t>
  </si>
  <si>
    <t>- This assumes there is no net uplift (wind may act up but overall beam is in compression)</t>
  </si>
  <si>
    <r>
      <t>K</t>
    </r>
    <r>
      <rPr>
        <b/>
        <sz val="9"/>
        <color theme="1"/>
        <rFont val="Calibri"/>
        <family val="2"/>
        <scheme val="minor"/>
      </rPr>
      <t>ZCP</t>
    </r>
    <r>
      <rPr>
        <b/>
        <sz val="11"/>
        <color theme="1"/>
        <rFont val="Calibri"/>
        <family val="2"/>
        <scheme val="minor"/>
      </rPr>
      <t xml:space="preserve"> =</t>
    </r>
  </si>
  <si>
    <t>TO CLEAR ALL INPUT CELLS PRESS CTRL + G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</si>
</sst>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00"/>
    <numFmt numFmtId="166" formatCode="0.0E+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4" fontId="0" fillId="2" borderId="3" xfId="0" applyNumberFormat="1" applyFill="1" applyBorder="1"/>
    <xf numFmtId="0" fontId="0" fillId="0" borderId="4" xfId="0" applyBorder="1"/>
    <xf numFmtId="164" fontId="0" fillId="0" borderId="4" xfId="0" applyNumberFormat="1" applyBorder="1"/>
    <xf numFmtId="2" fontId="0" fillId="0" borderId="4" xfId="0" applyNumberFormat="1" applyBorder="1"/>
    <xf numFmtId="0" fontId="3" fillId="0" borderId="4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0" fontId="0" fillId="0" borderId="7" xfId="0" applyBorder="1"/>
    <xf numFmtId="164" fontId="0" fillId="0" borderId="8" xfId="0" applyNumberFormat="1" applyBorder="1"/>
    <xf numFmtId="0" fontId="0" fillId="0" borderId="0" xfId="0" applyAlignment="1"/>
    <xf numFmtId="0" fontId="0" fillId="2" borderId="1" xfId="0" applyFill="1" applyBorder="1"/>
    <xf numFmtId="0" fontId="0" fillId="2" borderId="3" xfId="0" applyFill="1" applyBorder="1"/>
    <xf numFmtId="0" fontId="0" fillId="0" borderId="0" xfId="0" applyBorder="1"/>
    <xf numFmtId="0" fontId="0" fillId="2" borderId="11" xfId="0" applyFill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0" xfId="0" applyNumberFormat="1" applyBorder="1"/>
    <xf numFmtId="0" fontId="0" fillId="3" borderId="3" xfId="0" applyFill="1" applyBorder="1"/>
    <xf numFmtId="0" fontId="1" fillId="3" borderId="3" xfId="0" applyFont="1" applyFill="1" applyBorder="1"/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2" fontId="0" fillId="0" borderId="13" xfId="0" applyNumberFormat="1" applyBorder="1" applyAlignment="1">
      <alignment horizontal="left"/>
    </xf>
    <xf numFmtId="0" fontId="1" fillId="0" borderId="22" xfId="0" applyFont="1" applyBorder="1" applyAlignment="1">
      <alignment horizontal="right"/>
    </xf>
    <xf numFmtId="2" fontId="0" fillId="0" borderId="7" xfId="0" applyNumberFormat="1" applyBorder="1" applyAlignment="1">
      <alignment horizontal="left"/>
    </xf>
    <xf numFmtId="2" fontId="0" fillId="0" borderId="7" xfId="0" applyNumberFormat="1" applyBorder="1"/>
    <xf numFmtId="0" fontId="0" fillId="4" borderId="0" xfId="0" applyFill="1"/>
    <xf numFmtId="0" fontId="0" fillId="4" borderId="0" xfId="0" quotePrefix="1" applyFill="1"/>
    <xf numFmtId="0" fontId="0" fillId="4" borderId="0" xfId="0" applyFill="1" applyAlignment="1">
      <alignment horizontal="right"/>
    </xf>
    <xf numFmtId="0" fontId="0" fillId="4" borderId="0" xfId="0" applyFill="1" applyBorder="1"/>
    <xf numFmtId="11" fontId="0" fillId="4" borderId="0" xfId="0" applyNumberFormat="1" applyFill="1"/>
    <xf numFmtId="0" fontId="1" fillId="4" borderId="0" xfId="0" applyFont="1" applyFill="1" applyBorder="1" applyAlignment="1">
      <alignment horizontal="right"/>
    </xf>
    <xf numFmtId="2" fontId="0" fillId="4" borderId="0" xfId="0" applyNumberFormat="1" applyFill="1"/>
    <xf numFmtId="0" fontId="1" fillId="4" borderId="0" xfId="0" applyFont="1" applyFill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ont="1" applyFill="1" applyBorder="1"/>
    <xf numFmtId="164" fontId="0" fillId="4" borderId="0" xfId="0" applyNumberFormat="1" applyFill="1"/>
    <xf numFmtId="0" fontId="0" fillId="4" borderId="0" xfId="0" applyFill="1" applyAlignment="1">
      <alignment horizontal="right"/>
    </xf>
    <xf numFmtId="0" fontId="0" fillId="4" borderId="0" xfId="0" applyFill="1" applyAlignment="1"/>
    <xf numFmtId="0" fontId="1" fillId="4" borderId="0" xfId="0" applyFont="1" applyFill="1" applyAlignment="1">
      <alignment horizontal="center"/>
    </xf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0" fillId="2" borderId="24" xfId="0" applyFill="1" applyBorder="1"/>
    <xf numFmtId="0" fontId="10" fillId="4" borderId="0" xfId="0" applyFont="1" applyFill="1"/>
    <xf numFmtId="0" fontId="0" fillId="5" borderId="0" xfId="0" applyFill="1"/>
    <xf numFmtId="0" fontId="4" fillId="0" borderId="10" xfId="0" applyFont="1" applyBorder="1" applyAlignment="1"/>
    <xf numFmtId="0" fontId="4" fillId="0" borderId="11" xfId="0" applyFont="1" applyBorder="1" applyAlignment="1"/>
    <xf numFmtId="0" fontId="0" fillId="0" borderId="14" xfId="0" applyBorder="1"/>
    <xf numFmtId="2" fontId="0" fillId="0" borderId="15" xfId="0" applyNumberFormat="1" applyBorder="1"/>
    <xf numFmtId="0" fontId="0" fillId="0" borderId="29" xfId="0" applyBorder="1"/>
    <xf numFmtId="2" fontId="0" fillId="0" borderId="30" xfId="0" applyNumberFormat="1" applyBorder="1"/>
    <xf numFmtId="2" fontId="0" fillId="0" borderId="31" xfId="0" applyNumberFormat="1" applyBorder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6" xfId="0" applyBorder="1" applyAlignment="1"/>
    <xf numFmtId="0" fontId="0" fillId="4" borderId="0" xfId="0" applyFill="1" applyAlignment="1">
      <alignment horizontal="center"/>
    </xf>
    <xf numFmtId="0" fontId="0" fillId="4" borderId="4" xfId="0" applyFill="1" applyBorder="1"/>
    <xf numFmtId="165" fontId="0" fillId="4" borderId="4" xfId="0" applyNumberFormat="1" applyFill="1" applyBorder="1"/>
    <xf numFmtId="166" fontId="0" fillId="4" borderId="4" xfId="0" applyNumberFormat="1" applyFill="1" applyBorder="1"/>
    <xf numFmtId="0" fontId="0" fillId="4" borderId="14" xfId="0" applyFill="1" applyBorder="1"/>
    <xf numFmtId="0" fontId="0" fillId="4" borderId="29" xfId="0" applyFill="1" applyBorder="1"/>
    <xf numFmtId="0" fontId="0" fillId="4" borderId="30" xfId="0" applyFill="1" applyBorder="1"/>
    <xf numFmtId="11" fontId="0" fillId="4" borderId="14" xfId="0" applyNumberFormat="1" applyFill="1" applyBorder="1"/>
    <xf numFmtId="11" fontId="0" fillId="4" borderId="29" xfId="0" applyNumberFormat="1" applyFill="1" applyBorder="1"/>
    <xf numFmtId="2" fontId="0" fillId="4" borderId="14" xfId="0" applyNumberFormat="1" applyFill="1" applyBorder="1"/>
    <xf numFmtId="2" fontId="0" fillId="4" borderId="29" xfId="0" applyNumberFormat="1" applyFill="1" applyBorder="1"/>
    <xf numFmtId="165" fontId="0" fillId="4" borderId="30" xfId="0" applyNumberFormat="1" applyFill="1" applyBorder="1"/>
    <xf numFmtId="0" fontId="0" fillId="4" borderId="38" xfId="0" applyFill="1" applyBorder="1"/>
    <xf numFmtId="0" fontId="0" fillId="4" borderId="42" xfId="0" applyFill="1" applyBorder="1"/>
    <xf numFmtId="166" fontId="0" fillId="4" borderId="30" xfId="0" applyNumberFormat="1" applyFill="1" applyBorder="1"/>
    <xf numFmtId="164" fontId="1" fillId="6" borderId="15" xfId="0" applyNumberFormat="1" applyFont="1" applyFill="1" applyBorder="1"/>
    <xf numFmtId="164" fontId="1" fillId="6" borderId="31" xfId="0" applyNumberFormat="1" applyFont="1" applyFill="1" applyBorder="1"/>
    <xf numFmtId="164" fontId="1" fillId="6" borderId="15" xfId="0" applyNumberFormat="1" applyFont="1" applyFill="1" applyBorder="1" applyAlignment="1"/>
    <xf numFmtId="164" fontId="1" fillId="6" borderId="31" xfId="0" applyNumberFormat="1" applyFont="1" applyFill="1" applyBorder="1" applyAlignment="1"/>
    <xf numFmtId="0" fontId="0" fillId="4" borderId="45" xfId="0" applyFill="1" applyBorder="1"/>
    <xf numFmtId="165" fontId="0" fillId="4" borderId="33" xfId="0" applyNumberFormat="1" applyFill="1" applyBorder="1"/>
    <xf numFmtId="164" fontId="1" fillId="6" borderId="46" xfId="0" applyNumberFormat="1" applyFont="1" applyFill="1" applyBorder="1"/>
    <xf numFmtId="2" fontId="0" fillId="4" borderId="18" xfId="0" applyNumberFormat="1" applyFill="1" applyBorder="1"/>
    <xf numFmtId="166" fontId="0" fillId="4" borderId="33" xfId="0" applyNumberFormat="1" applyFill="1" applyBorder="1"/>
    <xf numFmtId="0" fontId="0" fillId="4" borderId="18" xfId="0" applyFill="1" applyBorder="1"/>
    <xf numFmtId="0" fontId="1" fillId="4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9" xfId="0" applyFont="1" applyFill="1" applyBorder="1"/>
    <xf numFmtId="0" fontId="1" fillId="4" borderId="29" xfId="0" applyFont="1" applyFill="1" applyBorder="1" applyAlignment="1">
      <alignment horizontal="right"/>
    </xf>
    <xf numFmtId="164" fontId="1" fillId="6" borderId="46" xfId="0" applyNumberFormat="1" applyFont="1" applyFill="1" applyBorder="1" applyAlignment="1"/>
    <xf numFmtId="11" fontId="0" fillId="4" borderId="18" xfId="0" applyNumberFormat="1" applyFill="1" applyBorder="1"/>
    <xf numFmtId="0" fontId="0" fillId="4" borderId="33" xfId="0" applyFill="1" applyBorder="1"/>
    <xf numFmtId="0" fontId="0" fillId="4" borderId="0" xfId="0" quotePrefix="1" applyFill="1" applyAlignment="1">
      <alignment horizontal="left" wrapText="1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15" fillId="5" borderId="0" xfId="0" quotePrefix="1" applyFont="1" applyFill="1" applyAlignment="1">
      <alignment horizontal="left" wrapTex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4" borderId="18" xfId="0" applyFill="1" applyBorder="1" applyAlignment="1">
      <alignment horizontal="right"/>
    </xf>
    <xf numFmtId="0" fontId="0" fillId="4" borderId="33" xfId="0" applyFill="1" applyBorder="1" applyAlignment="1">
      <alignment horizontal="right"/>
    </xf>
    <xf numFmtId="2" fontId="0" fillId="4" borderId="39" xfId="0" applyNumberFormat="1" applyFill="1" applyBorder="1" applyAlignment="1">
      <alignment horizontal="center"/>
    </xf>
    <xf numFmtId="2" fontId="0" fillId="4" borderId="40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37" xfId="0" applyNumberForma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34" xfId="0" applyNumberFormat="1" applyFill="1" applyBorder="1" applyAlignment="1">
      <alignment horizontal="center"/>
    </xf>
    <xf numFmtId="0" fontId="0" fillId="4" borderId="29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166" fontId="0" fillId="4" borderId="39" xfId="0" applyNumberFormat="1" applyFill="1" applyBorder="1" applyAlignment="1">
      <alignment horizontal="center"/>
    </xf>
    <xf numFmtId="166" fontId="0" fillId="4" borderId="40" xfId="0" applyNumberFormat="1" applyFill="1" applyBorder="1" applyAlignment="1">
      <alignment horizontal="center"/>
    </xf>
    <xf numFmtId="166" fontId="0" fillId="4" borderId="41" xfId="0" applyNumberFormat="1" applyFill="1" applyBorder="1" applyAlignment="1">
      <alignment horizontal="center"/>
    </xf>
    <xf numFmtId="166" fontId="0" fillId="4" borderId="32" xfId="0" applyNumberFormat="1" applyFill="1" applyBorder="1" applyAlignment="1">
      <alignment horizontal="center"/>
    </xf>
    <xf numFmtId="166" fontId="0" fillId="4" borderId="19" xfId="0" applyNumberFormat="1" applyFill="1" applyBorder="1" applyAlignment="1">
      <alignment horizontal="center"/>
    </xf>
    <xf numFmtId="166" fontId="0" fillId="4" borderId="34" xfId="0" applyNumberFormat="1" applyFill="1" applyBorder="1" applyAlignment="1">
      <alignment horizontal="center"/>
    </xf>
    <xf numFmtId="166" fontId="0" fillId="4" borderId="35" xfId="0" applyNumberFormat="1" applyFill="1" applyBorder="1" applyAlignment="1">
      <alignment horizontal="center"/>
    </xf>
    <xf numFmtId="166" fontId="0" fillId="4" borderId="37" xfId="0" applyNumberFormat="1" applyFill="1" applyBorder="1" applyAlignment="1">
      <alignment horizontal="center"/>
    </xf>
    <xf numFmtId="166" fontId="0" fillId="4" borderId="36" xfId="0" applyNumberFormat="1" applyFill="1" applyBorder="1" applyAlignment="1">
      <alignment horizontal="center"/>
    </xf>
    <xf numFmtId="164" fontId="1" fillId="6" borderId="35" xfId="0" applyNumberFormat="1" applyFont="1" applyFill="1" applyBorder="1" applyAlignment="1">
      <alignment horizontal="center"/>
    </xf>
    <xf numFmtId="164" fontId="1" fillId="6" borderId="36" xfId="0" applyNumberFormat="1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164" fontId="1" fillId="6" borderId="37" xfId="0" applyNumberFormat="1" applyFont="1" applyFill="1" applyBorder="1" applyAlignment="1">
      <alignment horizontal="center"/>
    </xf>
    <xf numFmtId="164" fontId="1" fillId="6" borderId="43" xfId="0" applyNumberFormat="1" applyFont="1" applyFill="1" applyBorder="1" applyAlignment="1">
      <alignment horizontal="center"/>
    </xf>
    <xf numFmtId="164" fontId="1" fillId="6" borderId="39" xfId="0" applyNumberFormat="1" applyFont="1" applyFill="1" applyBorder="1" applyAlignment="1">
      <alignment horizontal="center"/>
    </xf>
    <xf numFmtId="164" fontId="1" fillId="6" borderId="41" xfId="0" applyNumberFormat="1" applyFont="1" applyFill="1" applyBorder="1" applyAlignment="1">
      <alignment horizontal="center"/>
    </xf>
    <xf numFmtId="164" fontId="1" fillId="6" borderId="4" xfId="1" applyNumberFormat="1" applyFont="1" applyFill="1" applyBorder="1" applyAlignment="1">
      <alignment horizontal="center"/>
    </xf>
    <xf numFmtId="164" fontId="1" fillId="6" borderId="15" xfId="1" applyNumberFormat="1" applyFont="1" applyFill="1" applyBorder="1" applyAlignment="1">
      <alignment horizontal="center"/>
    </xf>
    <xf numFmtId="164" fontId="1" fillId="6" borderId="30" xfId="1" applyNumberFormat="1" applyFont="1" applyFill="1" applyBorder="1" applyAlignment="1">
      <alignment horizontal="center"/>
    </xf>
    <xf numFmtId="164" fontId="1" fillId="6" borderId="31" xfId="1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164" fontId="1" fillId="6" borderId="33" xfId="1" applyNumberFormat="1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164" fontId="1" fillId="6" borderId="46" xfId="1" applyNumberFormat="1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4" fillId="4" borderId="0" xfId="0" applyFont="1" applyFill="1" applyAlignment="1">
      <alignment horizontal="left"/>
    </xf>
    <xf numFmtId="0" fontId="14" fillId="4" borderId="6" xfId="0" applyFont="1" applyFill="1" applyBorder="1" applyAlignment="1">
      <alignment horizontal="left"/>
    </xf>
    <xf numFmtId="0" fontId="15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/>
    </xf>
    <xf numFmtId="164" fontId="1" fillId="6" borderId="32" xfId="0" applyNumberFormat="1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 horizontal="center"/>
    </xf>
    <xf numFmtId="164" fontId="1" fillId="6" borderId="47" xfId="0" applyNumberFormat="1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0" fillId="0" borderId="28" xfId="0" applyBorder="1"/>
    <xf numFmtId="0" fontId="0" fillId="0" borderId="21" xfId="0" applyBorder="1"/>
    <xf numFmtId="164" fontId="1" fillId="6" borderId="34" xfId="0" applyNumberFormat="1" applyFont="1" applyFill="1" applyBorder="1" applyAlignment="1">
      <alignment horizontal="center"/>
    </xf>
    <xf numFmtId="164" fontId="1" fillId="6" borderId="40" xfId="0" applyNumberFormat="1" applyFont="1" applyFill="1" applyBorder="1" applyAlignment="1">
      <alignment horizontal="center"/>
    </xf>
    <xf numFmtId="164" fontId="1" fillId="6" borderId="44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Change In Resistance Due to Varying Beam Depth (d)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'Inputs and Final Results'!$F$49</c:f>
              <c:strCache>
                <c:ptCount val="1"/>
                <c:pt idx="0">
                  <c:v>Vr (kN)</c:v>
                </c:pt>
              </c:strCache>
            </c:strRef>
          </c:tx>
          <c:marker>
            <c:symbol val="none"/>
          </c:marker>
          <c:xVal>
            <c:numRef>
              <c:f>'Inputs and Final Results'!$B$50:$B$70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Results'!$F$50:$F$70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'Inputs and Final Results'!$L$49</c:f>
              <c:strCache>
                <c:ptCount val="1"/>
                <c:pt idx="0">
                  <c:v>Mr (kN-m)</c:v>
                </c:pt>
              </c:strCache>
            </c:strRef>
          </c:tx>
          <c:marker>
            <c:symbol val="none"/>
          </c:marker>
          <c:xVal>
            <c:numRef>
              <c:f>'Inputs and Final Results'!$B$50:$B$70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Results'!$L$50:$L$70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'Inputs and Final Results'!$P$49:$Q$49</c:f>
              <c:strCache>
                <c:ptCount val="1"/>
                <c:pt idx="0">
                  <c:v>Qr (all) (kN)</c:v>
                </c:pt>
              </c:strCache>
            </c:strRef>
          </c:tx>
          <c:marker>
            <c:symbol val="none"/>
          </c:marker>
          <c:xVal>
            <c:numRef>
              <c:f>'Inputs and Final Results'!$B$50:$B$70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Results'!$P$50:$P$70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'Inputs and Final Results'!$R$49:$T$49</c:f>
              <c:strCache>
                <c:ptCount val="1"/>
                <c:pt idx="0">
                  <c:v>Qr (support) (kN)</c:v>
                </c:pt>
              </c:strCache>
            </c:strRef>
          </c:tx>
          <c:marker>
            <c:symbol val="none"/>
          </c:marker>
          <c:xVal>
            <c:numRef>
              <c:f>'Inputs and Final Results'!$B$50:$B$70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Results'!$R$50:$R$70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85038976"/>
        <c:axId val="86775296"/>
      </c:scatterChart>
      <c:valAx>
        <c:axId val="85038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Depth</a:t>
                </a:r>
                <a:r>
                  <a:rPr lang="en-CA" baseline="0"/>
                  <a:t> </a:t>
                </a:r>
                <a:r>
                  <a:rPr lang="en-CA"/>
                  <a:t>of Beam (mm)</a:t>
                </a:r>
              </a:p>
            </c:rich>
          </c:tx>
          <c:layout/>
        </c:title>
        <c:numFmt formatCode="General" sourceLinked="1"/>
        <c:tickLblPos val="nextTo"/>
        <c:crossAx val="86775296"/>
        <c:crosses val="autoZero"/>
        <c:crossBetween val="midCat"/>
      </c:valAx>
      <c:valAx>
        <c:axId val="86775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Resistance (kN</a:t>
                </a:r>
                <a:r>
                  <a:rPr lang="en-CA" baseline="0"/>
                  <a:t> or kN-m)</a:t>
                </a:r>
                <a:endParaRPr lang="en-CA"/>
              </a:p>
            </c:rich>
          </c:tx>
          <c:layout/>
        </c:title>
        <c:numFmt formatCode="0.0" sourceLinked="1"/>
        <c:tickLblPos val="nextTo"/>
        <c:crossAx val="85038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800" b="1" i="0" baseline="0"/>
              <a:t>Change In Resistance Due to Varying Beam Width(w)</a:t>
            </a:r>
            <a:endParaRPr lang="en-CA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'Inputs and Final Results'!$F$75</c:f>
              <c:strCache>
                <c:ptCount val="1"/>
                <c:pt idx="0">
                  <c:v>Vr (kN)</c:v>
                </c:pt>
              </c:strCache>
            </c:strRef>
          </c:tx>
          <c:marker>
            <c:symbol val="none"/>
          </c:marker>
          <c:xVal>
            <c:numRef>
              <c:f>'Inputs and Final Results'!$B$76:$B$96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Results'!$F$76:$F$96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'Inputs and Final Results'!$K$75</c:f>
              <c:strCache>
                <c:ptCount val="1"/>
                <c:pt idx="0">
                  <c:v>Mr (kN-m)</c:v>
                </c:pt>
              </c:strCache>
            </c:strRef>
          </c:tx>
          <c:marker>
            <c:symbol val="none"/>
          </c:marker>
          <c:xVal>
            <c:numRef>
              <c:f>'Inputs and Final Results'!$B$76:$B$96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Results'!$K$76:$K$96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'Inputs and Final Results'!$Q$75:$S$75</c:f>
              <c:strCache>
                <c:ptCount val="1"/>
                <c:pt idx="0">
                  <c:v>Qr (all) (kN)</c:v>
                </c:pt>
              </c:strCache>
            </c:strRef>
          </c:tx>
          <c:marker>
            <c:symbol val="none"/>
          </c:marker>
          <c:xVal>
            <c:numRef>
              <c:f>'Inputs and Final Results'!$B$76:$B$96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Results'!$Q$76:$Q$96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'Inputs and Final Results'!$T$75:$U$75</c:f>
              <c:strCache>
                <c:ptCount val="1"/>
                <c:pt idx="0">
                  <c:v>Qr (support) (kN)</c:v>
                </c:pt>
              </c:strCache>
            </c:strRef>
          </c:tx>
          <c:marker>
            <c:symbol val="none"/>
          </c:marker>
          <c:xVal>
            <c:numRef>
              <c:f>'Inputs and Final Results'!$B$76:$B$96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50</c:v>
                </c:pt>
                <c:pt idx="13">
                  <c:v>75</c:v>
                </c:pt>
                <c:pt idx="14">
                  <c:v>100</c:v>
                </c:pt>
                <c:pt idx="15">
                  <c:v>125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225</c:v>
                </c:pt>
                <c:pt idx="20">
                  <c:v>250</c:v>
                </c:pt>
              </c:numCache>
            </c:numRef>
          </c:xVal>
          <c:yVal>
            <c:numRef>
              <c:f>'Inputs and Final Results'!$T$76:$T$96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94244224"/>
        <c:axId val="94479872"/>
      </c:scatterChart>
      <c:valAx>
        <c:axId val="9424422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Width of Beam (mm)</a:t>
                </a:r>
              </a:p>
            </c:rich>
          </c:tx>
          <c:layout/>
        </c:title>
        <c:numFmt formatCode="General" sourceLinked="1"/>
        <c:tickLblPos val="nextTo"/>
        <c:crossAx val="94479872"/>
        <c:crossesAt val="0"/>
        <c:crossBetween val="midCat"/>
      </c:valAx>
      <c:valAx>
        <c:axId val="9447987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Resistance (kN or kN-m)</a:t>
                </a:r>
              </a:p>
            </c:rich>
          </c:tx>
          <c:layout/>
        </c:title>
        <c:numFmt formatCode="0.0" sourceLinked="1"/>
        <c:tickLblPos val="nextTo"/>
        <c:crossAx val="94244224"/>
        <c:crossesAt val="0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11</xdr:row>
      <xdr:rowOff>30584</xdr:rowOff>
    </xdr:from>
    <xdr:to>
      <xdr:col>0</xdr:col>
      <xdr:colOff>1733551</xdr:colOff>
      <xdr:row>20</xdr:row>
      <xdr:rowOff>6142</xdr:rowOff>
    </xdr:to>
    <xdr:pic>
      <xdr:nvPicPr>
        <xdr:cNvPr id="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7128"/>
        <a:stretch>
          <a:fillRect/>
        </a:stretch>
      </xdr:blipFill>
      <xdr:spPr bwMode="auto">
        <a:xfrm>
          <a:off x="76201" y="2135609"/>
          <a:ext cx="1657350" cy="1747208"/>
        </a:xfrm>
        <a:prstGeom prst="rect">
          <a:avLst/>
        </a:prstGeom>
        <a:noFill/>
      </xdr:spPr>
    </xdr:pic>
    <xdr:clientData/>
  </xdr:twoCellAnchor>
  <xdr:twoCellAnchor>
    <xdr:from>
      <xdr:col>20</xdr:col>
      <xdr:colOff>295275</xdr:colOff>
      <xdr:row>46</xdr:row>
      <xdr:rowOff>190499</xdr:rowOff>
    </xdr:from>
    <xdr:to>
      <xdr:col>32</xdr:col>
      <xdr:colOff>466725</xdr:colOff>
      <xdr:row>69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257174</xdr:colOff>
      <xdr:row>72</xdr:row>
      <xdr:rowOff>171450</xdr:rowOff>
    </xdr:from>
    <xdr:to>
      <xdr:col>33</xdr:col>
      <xdr:colOff>247649</xdr:colOff>
      <xdr:row>95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1752600</xdr:colOff>
      <xdr:row>11</xdr:row>
      <xdr:rowOff>104774</xdr:rowOff>
    </xdr:from>
    <xdr:to>
      <xdr:col>6</xdr:col>
      <xdr:colOff>420209</xdr:colOff>
      <xdr:row>19</xdr:row>
      <xdr:rowOff>111016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6488" t="17143" b="22857"/>
        <a:stretch>
          <a:fillRect/>
        </a:stretch>
      </xdr:blipFill>
      <xdr:spPr bwMode="auto">
        <a:xfrm>
          <a:off x="1752600" y="2209799"/>
          <a:ext cx="3113667" cy="15778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96"/>
  <sheetViews>
    <sheetView tabSelected="1" zoomScale="90" zoomScaleNormal="90" workbookViewId="0">
      <selection activeCell="L15" sqref="L15"/>
    </sheetView>
  </sheetViews>
  <sheetFormatPr defaultRowHeight="15"/>
  <cols>
    <col min="1" max="1" width="34.28515625" style="50" customWidth="1"/>
    <col min="2" max="2" width="6.42578125" style="50" customWidth="1"/>
    <col min="3" max="3" width="6" style="50" bestFit="1" customWidth="1"/>
    <col min="4" max="4" width="4.42578125" style="50" bestFit="1" customWidth="1"/>
    <col min="5" max="5" width="8.7109375" style="50" customWidth="1"/>
    <col min="6" max="6" width="6.85546875" style="50" customWidth="1"/>
    <col min="7" max="7" width="7.7109375" style="50" bestFit="1" customWidth="1"/>
    <col min="8" max="10" width="2.7109375" style="50" customWidth="1"/>
    <col min="11" max="11" width="9.85546875" style="50" customWidth="1"/>
    <col min="12" max="12" width="9.5703125" style="50" customWidth="1"/>
    <col min="13" max="13" width="6.28515625" style="50" customWidth="1"/>
    <col min="14" max="14" width="7.5703125" style="50" customWidth="1"/>
    <col min="15" max="15" width="6" style="50" customWidth="1"/>
    <col min="16" max="16" width="8.7109375" style="50" customWidth="1"/>
    <col min="17" max="17" width="5.28515625" style="50" customWidth="1"/>
    <col min="18" max="18" width="2.7109375" style="50" customWidth="1"/>
    <col min="19" max="19" width="6.42578125" style="50" bestFit="1" customWidth="1"/>
    <col min="20" max="20" width="7.28515625" style="50" customWidth="1"/>
    <col min="21" max="21" width="9" style="50" customWidth="1"/>
    <col min="22" max="22" width="5.140625" style="50" customWidth="1"/>
    <col min="23" max="23" width="9.140625" style="50"/>
    <col min="24" max="24" width="9.140625" style="50" customWidth="1"/>
    <col min="25" max="16384" width="9.140625" style="50"/>
  </cols>
  <sheetData>
    <row r="1" spans="1:26" ht="33.75">
      <c r="A1" s="115" t="s">
        <v>144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s="67" customFormat="1" ht="33.75">
      <c r="A2" s="116" t="s">
        <v>145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s="67" customFormat="1">
      <c r="A3" s="190" t="s">
        <v>177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67" customFormat="1">
      <c r="A4" s="129" t="s">
        <v>178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s="67" customFormat="1">
      <c r="A5" s="129" t="s">
        <v>179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5.75" thickBot="1">
      <c r="I6" s="68"/>
      <c r="M6" s="51"/>
    </row>
    <row r="7" spans="1:26" ht="15.75" thickBot="1">
      <c r="A7" s="118" t="s">
        <v>73</v>
      </c>
      <c r="B7" s="119"/>
      <c r="C7" s="119"/>
      <c r="D7" s="119"/>
      <c r="E7" s="119"/>
      <c r="F7" s="119"/>
      <c r="G7" s="120"/>
      <c r="I7" s="68"/>
      <c r="M7" s="51"/>
    </row>
    <row r="8" spans="1:26" ht="15.75" thickBot="1">
      <c r="A8" s="121" t="s">
        <v>74</v>
      </c>
      <c r="B8" s="122"/>
      <c r="C8" s="122"/>
      <c r="D8" s="122"/>
      <c r="E8" s="122"/>
      <c r="F8" s="122"/>
      <c r="G8" s="123"/>
      <c r="I8" s="68"/>
      <c r="M8" s="51"/>
    </row>
    <row r="9" spans="1:26">
      <c r="A9" s="216" t="s">
        <v>181</v>
      </c>
      <c r="B9" s="216"/>
      <c r="C9" s="216"/>
      <c r="D9" s="216"/>
      <c r="E9" s="216"/>
      <c r="F9" s="216"/>
      <c r="G9" s="216"/>
      <c r="I9" s="68"/>
      <c r="M9" s="51"/>
    </row>
    <row r="10" spans="1:26">
      <c r="I10" s="68"/>
      <c r="M10" s="51"/>
    </row>
    <row r="11" spans="1:26" ht="21">
      <c r="A11" s="127" t="s">
        <v>32</v>
      </c>
      <c r="B11" s="127"/>
      <c r="C11" s="127"/>
      <c r="D11" s="127"/>
      <c r="E11" s="127"/>
      <c r="F11" s="127"/>
      <c r="G11" s="127"/>
      <c r="I11" s="68"/>
      <c r="K11" s="127" t="s">
        <v>75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6" ht="15.75" thickBot="1">
      <c r="I12" s="68"/>
    </row>
    <row r="13" spans="1:26" ht="15.75" thickBot="1">
      <c r="I13" s="68"/>
      <c r="K13" s="55" t="s">
        <v>113</v>
      </c>
      <c r="L13" s="65">
        <f>'Data '!H18*('Inputs and Final Results'!B23/1000)/2</f>
        <v>0</v>
      </c>
      <c r="M13" s="40" t="s">
        <v>72</v>
      </c>
      <c r="O13" s="57" t="s">
        <v>76</v>
      </c>
      <c r="P13" s="50">
        <f>Y18*'Data '!E28*'Data '!E31</f>
        <v>11790</v>
      </c>
      <c r="Q13" s="50" t="s">
        <v>156</v>
      </c>
      <c r="W13" s="52"/>
      <c r="X13" s="54"/>
      <c r="Y13" s="63" t="s">
        <v>65</v>
      </c>
    </row>
    <row r="14" spans="1:26" ht="15.75" thickBot="1">
      <c r="E14" s="53"/>
      <c r="I14" s="68"/>
      <c r="K14" s="55" t="s">
        <v>100</v>
      </c>
      <c r="L14" s="65" t="e">
        <f>('Data '!H18*('Inputs and Final Results'!B23/1000)/2*(B23/2-B24/2-B22))/(B23/2)</f>
        <v>#DIV/0!</v>
      </c>
      <c r="M14" s="40" t="s">
        <v>72</v>
      </c>
      <c r="O14" s="57" t="s">
        <v>162</v>
      </c>
      <c r="P14" s="54">
        <f>(B21*B22^3)/12</f>
        <v>0</v>
      </c>
      <c r="Q14" s="50" t="s">
        <v>77</v>
      </c>
      <c r="S14" s="128" t="s">
        <v>48</v>
      </c>
      <c r="T14" s="128"/>
      <c r="U14" s="128"/>
      <c r="V14" s="128"/>
      <c r="W14" s="128"/>
      <c r="X14" s="128"/>
      <c r="Y14" s="50">
        <f>MAX('Glue Lam Str. Table'!B14:M14)</f>
        <v>30.6</v>
      </c>
    </row>
    <row r="15" spans="1:26" ht="15.75" thickBot="1">
      <c r="E15" s="53"/>
      <c r="I15" s="68"/>
      <c r="K15" s="55" t="s">
        <v>99</v>
      </c>
      <c r="L15" s="65">
        <f>'Data '!H18*('Inputs and Final Results'!B23/1000)^2/8</f>
        <v>0</v>
      </c>
      <c r="M15" s="40" t="s">
        <v>44</v>
      </c>
      <c r="O15" s="57" t="s">
        <v>163</v>
      </c>
      <c r="P15" s="54" t="e">
        <f>P14/(B22/2)</f>
        <v>#DIV/0!</v>
      </c>
      <c r="Q15" s="50" t="s">
        <v>115</v>
      </c>
      <c r="S15" s="128" t="s">
        <v>46</v>
      </c>
      <c r="T15" s="128"/>
      <c r="U15" s="128"/>
      <c r="V15" s="128"/>
      <c r="W15" s="128"/>
      <c r="X15" s="128"/>
      <c r="Y15" s="60">
        <f>MAX('Glue Lam Str. Table'!B16:M16)</f>
        <v>1.8</v>
      </c>
    </row>
    <row r="16" spans="1:26" ht="15.75" thickBot="1">
      <c r="E16" s="53"/>
      <c r="I16" s="68"/>
      <c r="K16" s="55" t="s">
        <v>127</v>
      </c>
      <c r="L16" s="65" t="e">
        <f>(5*('Data '!H18)*'Inputs and Final Results'!B23^4)/(384*P14*P13)</f>
        <v>#DIV/0!</v>
      </c>
      <c r="M16" s="40" t="s">
        <v>71</v>
      </c>
      <c r="O16" s="61"/>
      <c r="S16" s="128" t="s">
        <v>49</v>
      </c>
      <c r="T16" s="128"/>
      <c r="U16" s="128"/>
      <c r="V16" s="128"/>
      <c r="W16" s="128"/>
      <c r="X16" s="128"/>
      <c r="Y16" s="60">
        <f>MAX('Glue Lam Str. Table'!B17:M17)</f>
        <v>7</v>
      </c>
    </row>
    <row r="17" spans="1:25">
      <c r="E17" s="53"/>
      <c r="I17" s="68"/>
      <c r="K17" s="55"/>
      <c r="O17" s="61"/>
      <c r="S17" s="128" t="s">
        <v>123</v>
      </c>
      <c r="T17" s="128"/>
      <c r="U17" s="128"/>
      <c r="V17" s="128"/>
      <c r="W17" s="128"/>
      <c r="X17" s="128"/>
      <c r="Y17" s="60">
        <f>MAX('Glue Lam Str. Table'!B18:M18)</f>
        <v>7</v>
      </c>
    </row>
    <row r="18" spans="1:25">
      <c r="E18" s="53"/>
      <c r="I18" s="68"/>
      <c r="O18" s="61"/>
      <c r="P18" s="54"/>
      <c r="S18" s="128" t="s">
        <v>51</v>
      </c>
      <c r="T18" s="128"/>
      <c r="U18" s="128"/>
      <c r="V18" s="128"/>
      <c r="W18" s="128"/>
      <c r="X18" s="128"/>
      <c r="Y18" s="50">
        <f>MAX('Glue Lam Str. Table'!B20:M20)</f>
        <v>13100</v>
      </c>
    </row>
    <row r="19" spans="1:25">
      <c r="I19" s="68"/>
      <c r="S19" s="128"/>
      <c r="T19" s="128"/>
      <c r="U19" s="128"/>
      <c r="V19" s="128"/>
      <c r="W19" s="128"/>
      <c r="X19" s="128"/>
    </row>
    <row r="20" spans="1:25" ht="15.75" thickBot="1">
      <c r="I20" s="68"/>
      <c r="K20" s="117" t="s">
        <v>102</v>
      </c>
      <c r="L20" s="117"/>
      <c r="M20" s="117"/>
      <c r="N20" s="117"/>
      <c r="O20" s="117"/>
      <c r="P20" s="117"/>
      <c r="Q20" s="117"/>
      <c r="S20" s="117" t="s">
        <v>134</v>
      </c>
      <c r="T20" s="117"/>
      <c r="U20" s="117"/>
      <c r="V20" s="117"/>
      <c r="W20" s="117"/>
      <c r="X20" s="117"/>
      <c r="Y20" s="117"/>
    </row>
    <row r="21" spans="1:25" ht="15.75" thickBot="1">
      <c r="A21" s="52" t="s">
        <v>120</v>
      </c>
      <c r="B21" s="124">
        <v>0</v>
      </c>
      <c r="C21" s="125"/>
      <c r="D21" s="26" t="s">
        <v>71</v>
      </c>
      <c r="I21" s="68"/>
      <c r="K21" s="55" t="s">
        <v>79</v>
      </c>
      <c r="L21" s="50">
        <v>0.9</v>
      </c>
      <c r="O21" s="55" t="s">
        <v>95</v>
      </c>
      <c r="P21" s="56" t="e">
        <f>'Data '!E34</f>
        <v>#DIV/0!</v>
      </c>
      <c r="R21" s="62"/>
      <c r="S21" s="55" t="s">
        <v>79</v>
      </c>
      <c r="T21" s="50">
        <v>0.8</v>
      </c>
      <c r="W21" s="55" t="s">
        <v>130</v>
      </c>
      <c r="X21" s="56">
        <f>IF(OR($B$24=12.5,$B$24&lt;12.5),1.75,IF(OR($B$24&gt;25,$B$24&lt;12.5),IF($B$24=25,1.38,IF(OR($B$24&gt;38,$B$24&lt;25),IF($B$24=38,1.25,IF(OR($B$24&gt;50,$B$24&lt;38),IF($B$24=50,1.19,IF(OR($B$24&gt;75,$B$24&lt;50),IF($B$24=75,1.12,IF(OR($B$24&gt;100,$B$24&lt;75),IF($B$24=100,1.1,IF(OR($B$24&gt;150,$B$24&lt;100),IF(OR($B$24=150,$B$24&gt;150),1,""),(1-(150-$B$24)*(1-1.1)/(150-100)))),(1.1-(100-$B$24)*(1.1-1.13)/(100-75)))),(1.13-(75-$B$24)*(1.13-1.19)/(75-50)))),(1.19-(50-$B$24)*(1.19-1.25)/(50-38)))),(1.25-(38-$B$24)*(1.25-1.38)/(38-25)))),(1.38-(25-$B$24)*(1.38-1.75)/(25-12.5))))</f>
        <v>1.75</v>
      </c>
    </row>
    <row r="22" spans="1:25" ht="15.75" thickBot="1">
      <c r="A22" s="52" t="s">
        <v>111</v>
      </c>
      <c r="B22" s="124">
        <v>0</v>
      </c>
      <c r="C22" s="125"/>
      <c r="D22" s="26" t="s">
        <v>71</v>
      </c>
      <c r="I22" s="68"/>
      <c r="K22" s="55" t="s">
        <v>97</v>
      </c>
      <c r="L22" s="56">
        <f>Y15*('Data '!E32*'Data '!E33*'Data '!E33*'Data '!E23*'Data '!E31)</f>
        <v>2.1790889999999998</v>
      </c>
      <c r="M22" s="50" t="s">
        <v>93</v>
      </c>
      <c r="O22" s="57" t="s">
        <v>104</v>
      </c>
      <c r="P22" s="50">
        <v>3.69</v>
      </c>
      <c r="S22" s="55" t="s">
        <v>136</v>
      </c>
      <c r="T22" s="50">
        <f>Y16*'Data '!E32*'Data '!E25*'Data '!E31</f>
        <v>5.3934999999999995</v>
      </c>
      <c r="U22" s="50" t="s">
        <v>93</v>
      </c>
      <c r="W22" s="55" t="s">
        <v>180</v>
      </c>
      <c r="X22" s="56" t="e">
        <f>IF(OR('Inputs and Final Results'!B21/'Inputs and Final Results'!B22&lt;1,'Inputs and Final Results'!B21/'Inputs and Final Results'!B22=1),1,IF('Inputs and Final Results'!B21/'Inputs and Final Results'!B22&lt;2,(1.15-0.15*(2-'Inputs and Final Results'!B21/'Inputs and Final Results'!B22)),1.15))</f>
        <v>#DIV/0!</v>
      </c>
    </row>
    <row r="23" spans="1:25" ht="15.75" thickBot="1">
      <c r="A23" s="52" t="s">
        <v>112</v>
      </c>
      <c r="B23" s="124">
        <v>0</v>
      </c>
      <c r="C23" s="125"/>
      <c r="D23" s="28" t="s">
        <v>71</v>
      </c>
      <c r="I23" s="68"/>
      <c r="K23" s="55" t="s">
        <v>96</v>
      </c>
      <c r="L23" s="50">
        <f>(B21)*B22</f>
        <v>0</v>
      </c>
      <c r="M23" s="59" t="s">
        <v>78</v>
      </c>
      <c r="O23" s="57" t="s">
        <v>101</v>
      </c>
      <c r="P23" s="50">
        <f>$L$23*$B$23/1000^3</f>
        <v>0</v>
      </c>
      <c r="Q23" s="50" t="s">
        <v>103</v>
      </c>
      <c r="S23" s="55" t="s">
        <v>132</v>
      </c>
      <c r="T23" s="50">
        <f>B21*B24</f>
        <v>0</v>
      </c>
      <c r="U23" s="50" t="s">
        <v>78</v>
      </c>
    </row>
    <row r="24" spans="1:25" ht="15.75" thickBot="1">
      <c r="A24" s="61" t="s">
        <v>131</v>
      </c>
      <c r="B24" s="124">
        <v>0</v>
      </c>
      <c r="C24" s="125"/>
      <c r="D24" s="28" t="s">
        <v>71</v>
      </c>
      <c r="I24" s="68"/>
    </row>
    <row r="25" spans="1:25" ht="15.75" thickBot="1">
      <c r="A25" s="52" t="s">
        <v>105</v>
      </c>
      <c r="B25" s="124">
        <v>0</v>
      </c>
      <c r="C25" s="125"/>
      <c r="D25" s="26" t="s">
        <v>71</v>
      </c>
      <c r="I25" s="68"/>
      <c r="M25" s="57" t="s">
        <v>125</v>
      </c>
      <c r="N25" s="64" t="e">
        <f>((L21*L22*0.48*L23*P21*P22*P23^(-0.18)))/1000</f>
        <v>#DIV/0!</v>
      </c>
      <c r="O25" s="39" t="s">
        <v>72</v>
      </c>
      <c r="P25" s="50" t="e">
        <f>IF(N25&gt;L14,"&gt; Vf - OK!","&lt; Vf - Fails!")</f>
        <v>#DIV/0!</v>
      </c>
      <c r="T25" s="57" t="s">
        <v>135</v>
      </c>
      <c r="U25" s="64" t="e">
        <f>T21*T22*T23*X21*X22/1000</f>
        <v>#DIV/0!</v>
      </c>
      <c r="V25" s="39" t="s">
        <v>72</v>
      </c>
      <c r="W25" s="50" t="e">
        <f>IF(U25&gt;L13,"&gt; Vmax - OK!","&lt; Vmax - Fails!")</f>
        <v>#DIV/0!</v>
      </c>
    </row>
    <row r="26" spans="1:25" ht="15.75" thickBot="1">
      <c r="A26" s="52" t="s">
        <v>109</v>
      </c>
      <c r="B26" s="124">
        <v>0</v>
      </c>
      <c r="C26" s="125"/>
      <c r="D26" s="26" t="s">
        <v>71</v>
      </c>
      <c r="E26" s="53"/>
      <c r="I26" s="68"/>
    </row>
    <row r="27" spans="1:25" ht="15.75" thickBot="1">
      <c r="A27" s="52" t="s">
        <v>110</v>
      </c>
      <c r="B27" s="124">
        <v>0</v>
      </c>
      <c r="C27" s="125"/>
      <c r="D27" s="26" t="s">
        <v>71</v>
      </c>
      <c r="E27" s="53"/>
      <c r="I27" s="68"/>
      <c r="K27" s="117" t="s">
        <v>122</v>
      </c>
      <c r="L27" s="117"/>
      <c r="M27" s="117"/>
      <c r="N27" s="117"/>
      <c r="O27" s="117"/>
      <c r="P27" s="117"/>
      <c r="Q27" s="117"/>
      <c r="S27" s="117" t="s">
        <v>138</v>
      </c>
      <c r="T27" s="117"/>
      <c r="U27" s="117"/>
      <c r="V27" s="117"/>
      <c r="W27" s="117"/>
      <c r="X27" s="117"/>
      <c r="Y27" s="117"/>
    </row>
    <row r="28" spans="1:25" ht="15.75" thickBot="1">
      <c r="A28" s="52" t="s">
        <v>121</v>
      </c>
      <c r="B28" s="124">
        <v>0</v>
      </c>
      <c r="C28" s="125"/>
      <c r="D28" s="26" t="s">
        <v>71</v>
      </c>
      <c r="E28" s="53"/>
      <c r="I28" s="68"/>
      <c r="K28" s="55" t="s">
        <v>79</v>
      </c>
      <c r="L28" s="50">
        <v>0.9</v>
      </c>
      <c r="O28" s="57" t="s">
        <v>158</v>
      </c>
      <c r="P28" s="50">
        <f>1.92*(IF(B28=0,B23,B28))</f>
        <v>0</v>
      </c>
      <c r="Q28" s="50" t="s">
        <v>71</v>
      </c>
      <c r="S28" s="55" t="s">
        <v>79</v>
      </c>
      <c r="T28" s="50">
        <v>0.8</v>
      </c>
      <c r="W28" s="55" t="s">
        <v>130</v>
      </c>
      <c r="X28" s="56">
        <f>IF(OR($B$24=12.5,$B$24&lt;12.5),1.75,IF(OR($B$24&gt;25,$B$24&lt;12.5),IF($B$24=25,1.38,IF(OR($B$24&gt;38,$B$24&lt;25),IF($B$24=38,1.25,IF(OR($B$24&gt;50,$B$24&lt;38),IF($B$24=50,1.19,IF(OR($B$24&gt;75,$B$24&lt;50),IF($B$24=75,1.12,IF(OR($B$24&gt;100,$B$24&lt;75),IF($B$24=100,1.1,IF(OR($B$24&gt;150,$B$24&lt;100),IF(OR($B$24=150,$B$24&gt;150),1,""),(1-(150-$B$24)*(1-1.1)/(150-100)))),(1.1-(100-$B$24)*(1.1-1.13)/(100-75)))),(1.13-(75-$B$24)*(1.13-1.19)/(75-50)))),(1.19-(50-$B$24)*(1.19-1.25)/(50-38)))),(1.25-(38-$B$24)*(1.25-1.38)/(38-25)))),(1.38-(25-$B$24)*(1.38-1.75)/(25-12.5))))</f>
        <v>1.75</v>
      </c>
    </row>
    <row r="29" spans="1:25" ht="15.75" thickBot="1">
      <c r="A29" s="61" t="s">
        <v>69</v>
      </c>
      <c r="B29" s="118" t="s">
        <v>62</v>
      </c>
      <c r="C29" s="119"/>
      <c r="D29" s="119"/>
      <c r="E29" s="119"/>
      <c r="F29" s="120"/>
      <c r="I29" s="68"/>
      <c r="K29" s="55" t="s">
        <v>114</v>
      </c>
      <c r="L29" s="56">
        <f>Y14*'Data '!E32*'Data '!E33*'Data '!E22*'Data '!E31</f>
        <v>30.967200000000005</v>
      </c>
      <c r="M29" s="50" t="s">
        <v>93</v>
      </c>
      <c r="O29" s="57" t="s">
        <v>119</v>
      </c>
      <c r="P29" s="56" t="e">
        <f>MIN(SQRT(P28*B22/B21^2),50)</f>
        <v>#DIV/0!</v>
      </c>
      <c r="S29" s="55" t="s">
        <v>136</v>
      </c>
      <c r="T29" s="50">
        <f>Y16*'Data '!E32*'Data '!E25*'Data '!E31</f>
        <v>5.3934999999999995</v>
      </c>
      <c r="U29" s="50" t="s">
        <v>93</v>
      </c>
      <c r="W29" s="55" t="s">
        <v>129</v>
      </c>
      <c r="X29" s="56" t="e">
        <f>IF(OR('Inputs and Final Results'!B21/'Inputs and Final Results'!B22&lt;1,'Inputs and Final Results'!B21/'Inputs and Final Results'!B22=1),1,IF('Inputs and Final Results'!B21/'Inputs and Final Results'!B22&lt;2,(1.15-0.15*(2-'Inputs and Final Results'!B21/'Inputs and Final Results'!B22)),1.15))</f>
        <v>#DIV/0!</v>
      </c>
    </row>
    <row r="30" spans="1:25" ht="15.75" thickBot="1">
      <c r="A30" s="52" t="s">
        <v>70</v>
      </c>
      <c r="B30" s="118" t="s">
        <v>63</v>
      </c>
      <c r="C30" s="119"/>
      <c r="D30" s="120"/>
      <c r="E30" s="53"/>
      <c r="I30" s="68"/>
      <c r="K30" s="55" t="s">
        <v>116</v>
      </c>
      <c r="L30" s="60">
        <v>1</v>
      </c>
      <c r="M30" s="59"/>
      <c r="O30" s="57" t="s">
        <v>124</v>
      </c>
      <c r="P30" s="56">
        <f>SQRT(0.97*P13/L29)</f>
        <v>19.217274788946543</v>
      </c>
      <c r="S30" s="55" t="s">
        <v>137</v>
      </c>
      <c r="T30" s="50">
        <f>MIN(B21*(B24+B22)/2,1.5*B21*B24)</f>
        <v>0</v>
      </c>
      <c r="U30" s="50" t="s">
        <v>78</v>
      </c>
    </row>
    <row r="31" spans="1:25" ht="15.75" thickBot="1">
      <c r="I31" s="68"/>
      <c r="K31" s="55" t="s">
        <v>117</v>
      </c>
      <c r="L31" s="56" t="e">
        <f>MIN(1.03*(B21/1000*B23/1000)^(-0.18),1)</f>
        <v>#DIV/0!</v>
      </c>
      <c r="O31" s="57" t="s">
        <v>118</v>
      </c>
      <c r="P31" s="56" t="e">
        <f>IF(P29&lt;10,1,IF(P29&lt;P30,(1-1/3*(P29/P30)^4),(0.65*P13/(P29^2*L29*L30))))</f>
        <v>#DIV/0!</v>
      </c>
    </row>
    <row r="32" spans="1:25" ht="15.75" thickBot="1">
      <c r="A32" s="132" t="s">
        <v>23</v>
      </c>
      <c r="B32" s="132"/>
      <c r="C32" s="132"/>
      <c r="D32" s="132"/>
      <c r="E32" s="132"/>
      <c r="F32" s="132"/>
      <c r="G32" s="132"/>
      <c r="I32" s="68"/>
      <c r="T32" s="57" t="s">
        <v>135</v>
      </c>
      <c r="U32" s="64" t="e">
        <f>(2/3*T28*T29*T30*X28*X29)/1000</f>
        <v>#DIV/0!</v>
      </c>
      <c r="V32" s="39" t="s">
        <v>72</v>
      </c>
      <c r="W32" s="50" t="e">
        <f>IF(('Data '!H18*'Inputs and Final Results'!B24/1000)&lt;U32,"&gt; Applied Load - OK!","&lt; Applied Load - Fails!")</f>
        <v>#DIV/0!</v>
      </c>
    </row>
    <row r="33" spans="1:25" ht="15.75" thickBot="1">
      <c r="A33" s="133" t="s">
        <v>24</v>
      </c>
      <c r="B33" s="133"/>
      <c r="C33" s="133"/>
      <c r="D33" s="130" t="s">
        <v>33</v>
      </c>
      <c r="E33" s="133" t="s">
        <v>34</v>
      </c>
      <c r="F33" s="133"/>
      <c r="G33" s="133"/>
      <c r="I33" s="68"/>
      <c r="M33" s="57" t="s">
        <v>147</v>
      </c>
      <c r="N33" s="64" t="e">
        <f>MIN(L28*L29*P15*L30*L31,L28*L29*P15*L30*P31)/1000000</f>
        <v>#DIV/0!</v>
      </c>
      <c r="O33" s="39" t="s">
        <v>157</v>
      </c>
      <c r="P33" s="50" t="e">
        <f>IF(N33&gt;L15,"&gt;Mf - OK!","&lt; Mf - Fails!")</f>
        <v>#DIV/0!</v>
      </c>
    </row>
    <row r="34" spans="1:25" ht="15.75" thickBot="1">
      <c r="A34" s="58" t="s">
        <v>25</v>
      </c>
      <c r="B34" s="25">
        <v>0</v>
      </c>
      <c r="C34" s="26" t="s">
        <v>44</v>
      </c>
      <c r="D34" s="131"/>
      <c r="E34" s="58" t="s">
        <v>35</v>
      </c>
      <c r="F34" s="25">
        <v>0</v>
      </c>
      <c r="G34" s="26" t="s">
        <v>44</v>
      </c>
      <c r="I34" s="68"/>
      <c r="S34" s="114" t="s">
        <v>143</v>
      </c>
      <c r="T34" s="114"/>
      <c r="U34" s="114"/>
      <c r="V34" s="114"/>
      <c r="W34" s="114"/>
      <c r="X34" s="114"/>
      <c r="Y34" s="114"/>
    </row>
    <row r="35" spans="1:25" ht="15.75" thickBot="1">
      <c r="A35" s="58" t="s">
        <v>26</v>
      </c>
      <c r="B35" s="25">
        <v>0</v>
      </c>
      <c r="C35" s="26" t="s">
        <v>44</v>
      </c>
      <c r="D35" s="131"/>
      <c r="E35" s="58" t="s">
        <v>139</v>
      </c>
      <c r="F35" s="66">
        <v>0</v>
      </c>
      <c r="G35" s="53"/>
      <c r="I35" s="68"/>
      <c r="K35" s="117" t="s">
        <v>128</v>
      </c>
      <c r="L35" s="117"/>
      <c r="M35" s="117"/>
      <c r="N35" s="117"/>
      <c r="O35" s="117"/>
      <c r="P35" s="117"/>
      <c r="Q35" s="117"/>
      <c r="S35" s="114"/>
      <c r="T35" s="114"/>
      <c r="U35" s="114"/>
      <c r="V35" s="114"/>
      <c r="W35" s="114"/>
      <c r="X35" s="114"/>
      <c r="Y35" s="114"/>
    </row>
    <row r="36" spans="1:25" ht="15.75" thickBot="1">
      <c r="A36" s="58" t="s">
        <v>27</v>
      </c>
      <c r="B36" s="25">
        <v>0</v>
      </c>
      <c r="C36" s="26" t="s">
        <v>44</v>
      </c>
      <c r="D36" s="131"/>
      <c r="E36" s="126" t="s">
        <v>140</v>
      </c>
      <c r="F36" s="126"/>
      <c r="G36" s="126"/>
      <c r="I36" s="68"/>
      <c r="K36" s="62"/>
      <c r="L36" s="62"/>
    </row>
    <row r="37" spans="1:25" ht="15.75" thickBot="1">
      <c r="A37" s="58" t="s">
        <v>28</v>
      </c>
      <c r="B37" s="25">
        <v>0</v>
      </c>
      <c r="C37" s="26" t="s">
        <v>44</v>
      </c>
      <c r="D37" s="131"/>
      <c r="E37" s="126" t="s">
        <v>141</v>
      </c>
      <c r="F37" s="126"/>
      <c r="G37" s="126"/>
      <c r="I37" s="68"/>
      <c r="K37" s="55" t="s">
        <v>98</v>
      </c>
      <c r="L37" s="65">
        <f>B23/180</f>
        <v>0</v>
      </c>
      <c r="M37" s="40" t="s">
        <v>71</v>
      </c>
      <c r="N37" s="50" t="e">
        <f>IF(L37&gt;L16,"&gt; Δ - OK!","&lt; Δ -Exceeds Diflection Criteria!")</f>
        <v>#DIV/0!</v>
      </c>
    </row>
    <row r="38" spans="1:25" ht="15.75" thickBot="1">
      <c r="A38" s="58" t="s">
        <v>29</v>
      </c>
      <c r="B38" s="25">
        <v>0</v>
      </c>
      <c r="C38" s="26" t="s">
        <v>44</v>
      </c>
      <c r="D38" s="131"/>
      <c r="E38" s="126" t="s">
        <v>142</v>
      </c>
      <c r="F38" s="126"/>
      <c r="G38" s="126"/>
      <c r="I38" s="68"/>
    </row>
    <row r="39" spans="1:25">
      <c r="I39" s="68"/>
    </row>
    <row r="40" spans="1:25">
      <c r="A40" s="132" t="s">
        <v>126</v>
      </c>
      <c r="B40" s="132"/>
      <c r="C40" s="132"/>
      <c r="D40" s="132"/>
      <c r="E40" s="132"/>
      <c r="F40" s="132"/>
      <c r="G40" s="132"/>
      <c r="I40" s="68"/>
    </row>
    <row r="41" spans="1:25" ht="15.75" thickBot="1">
      <c r="I41" s="68"/>
    </row>
    <row r="42" spans="1:25" ht="15.75" thickBot="1">
      <c r="A42" s="58" t="s">
        <v>36</v>
      </c>
      <c r="B42" s="118" t="s">
        <v>43</v>
      </c>
      <c r="C42" s="119"/>
      <c r="D42" s="119"/>
      <c r="E42" s="120"/>
      <c r="I42" s="68"/>
    </row>
    <row r="43" spans="1:25" ht="15.75" thickBot="1">
      <c r="A43" s="58" t="s">
        <v>39</v>
      </c>
      <c r="B43" s="118" t="s">
        <v>40</v>
      </c>
      <c r="C43" s="119"/>
      <c r="D43" s="119"/>
      <c r="E43" s="120"/>
      <c r="I43" s="68"/>
    </row>
    <row r="44" spans="1:25" ht="15.75" thickBot="1">
      <c r="A44" s="58" t="s">
        <v>37</v>
      </c>
      <c r="B44" s="118" t="s">
        <v>92</v>
      </c>
      <c r="C44" s="119"/>
      <c r="D44" s="119"/>
      <c r="E44" s="120"/>
      <c r="I44" s="68"/>
    </row>
    <row r="46" spans="1:25">
      <c r="B46" s="188" t="s">
        <v>174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1:25" ht="15.75" thickBot="1"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25">
      <c r="B48" s="186" t="s">
        <v>146</v>
      </c>
      <c r="C48" s="136" t="s">
        <v>150</v>
      </c>
      <c r="D48" s="137"/>
      <c r="E48" s="137"/>
      <c r="F48" s="138"/>
      <c r="G48" s="136" t="s">
        <v>152</v>
      </c>
      <c r="H48" s="137"/>
      <c r="I48" s="137"/>
      <c r="J48" s="137"/>
      <c r="K48" s="137"/>
      <c r="L48" s="138"/>
      <c r="M48" s="136" t="s">
        <v>148</v>
      </c>
      <c r="N48" s="138"/>
      <c r="O48" s="136" t="s">
        <v>170</v>
      </c>
      <c r="P48" s="196"/>
      <c r="Q48" s="196"/>
      <c r="R48" s="196"/>
      <c r="S48" s="196"/>
      <c r="T48" s="197"/>
    </row>
    <row r="49" spans="2:22" ht="15.75" thickBot="1">
      <c r="B49" s="187"/>
      <c r="C49" s="139" t="s">
        <v>151</v>
      </c>
      <c r="D49" s="140"/>
      <c r="E49" s="106" t="s">
        <v>149</v>
      </c>
      <c r="F49" s="107" t="s">
        <v>176</v>
      </c>
      <c r="G49" s="108" t="s">
        <v>155</v>
      </c>
      <c r="H49" s="146" t="s">
        <v>154</v>
      </c>
      <c r="I49" s="147"/>
      <c r="J49" s="148"/>
      <c r="K49" s="106" t="s">
        <v>160</v>
      </c>
      <c r="L49" s="107" t="s">
        <v>165</v>
      </c>
      <c r="M49" s="109" t="s">
        <v>161</v>
      </c>
      <c r="N49" s="107" t="s">
        <v>164</v>
      </c>
      <c r="O49" s="110" t="s">
        <v>167</v>
      </c>
      <c r="P49" s="168" t="s">
        <v>169</v>
      </c>
      <c r="Q49" s="195"/>
      <c r="R49" s="168" t="s">
        <v>175</v>
      </c>
      <c r="S49" s="169"/>
      <c r="T49" s="170"/>
    </row>
    <row r="50" spans="2:22">
      <c r="B50" s="100">
        <f t="shared" ref="B50:B59" si="0">MAX(B51-25,0)</f>
        <v>0</v>
      </c>
      <c r="C50" s="141">
        <f t="shared" ref="C50:C70" si="1">B50*$B$21</f>
        <v>0</v>
      </c>
      <c r="D50" s="142"/>
      <c r="E50" s="101">
        <f t="shared" ref="E50:E70" si="2">C50*$B$23/1000^3</f>
        <v>0</v>
      </c>
      <c r="F50" s="102">
        <f t="shared" ref="F50:F70" si="3">IF(B50=0,0,MIN((($L$21*$L$22*0.48*C50*$P$21*$P$22*E50^(-0.18))/1000),(($L$21*$L$22*2*C50/3*$P$21)/1000)))</f>
        <v>0</v>
      </c>
      <c r="G50" s="103" t="e">
        <f t="shared" ref="G50:G70" si="4">MIN(SQRT($P$28*B50/$B$21^2),50)</f>
        <v>#DIV/0!</v>
      </c>
      <c r="H50" s="152" t="e">
        <f t="shared" ref="H50:H70" si="5">IF(G50&lt;10,1,IF(G50&lt;$P$30,(1-1/3*(G50/$P$30)^4),(0.65*$P$13/(G50^2*$L$29*$L$30))))</f>
        <v>#DIV/0!</v>
      </c>
      <c r="I50" s="153"/>
      <c r="J50" s="154"/>
      <c r="K50" s="104" t="e">
        <f t="shared" ref="K50:K70" si="6">(($B$21*B50^3)/12)/(B50/2)</f>
        <v>#DIV/0!</v>
      </c>
      <c r="L50" s="102" t="e">
        <f t="shared" ref="L50:L70" si="7">MIN($L$28*$L$29*K50*$L$30*$L$31,$L$28*$L$29*K50*$L$30*H50)/1000000</f>
        <v>#DIV/0!</v>
      </c>
      <c r="M50" s="105">
        <f t="shared" ref="M50:M70" si="8">($B$21*B50^3)/12</f>
        <v>0</v>
      </c>
      <c r="N50" s="102">
        <f>IF(B50=0,0,(5*('Data '!$H$18)*'Inputs and Final Results'!$B$23^4)/(384*M50*$P$13))</f>
        <v>0</v>
      </c>
      <c r="O50" s="105" t="e">
        <f t="shared" ref="O50:O70" si="9">IF(OR($B$21/B50&lt;1,$B$21/B50=1),1,IF($B$21/B50&lt;2,(1.15-0.15*(2-$B$21/B50)),1.15))</f>
        <v>#DIV/0!</v>
      </c>
      <c r="P50" s="192" t="e">
        <f t="shared" ref="P50:P70" si="10">$T$21*$T$22*$T$23*$X$21*O50/1000</f>
        <v>#DIV/0!</v>
      </c>
      <c r="Q50" s="198"/>
      <c r="R50" s="192" t="e">
        <f t="shared" ref="R50:R70" si="11">(2/3*$T$28*$T$29*$T$30*$X$28*O50)/1000</f>
        <v>#DIV/0!</v>
      </c>
      <c r="S50" s="193"/>
      <c r="T50" s="194"/>
    </row>
    <row r="51" spans="2:22">
      <c r="B51" s="93">
        <f t="shared" si="0"/>
        <v>0</v>
      </c>
      <c r="C51" s="134">
        <f t="shared" si="1"/>
        <v>0</v>
      </c>
      <c r="D51" s="135"/>
      <c r="E51" s="83">
        <f t="shared" si="2"/>
        <v>0</v>
      </c>
      <c r="F51" s="96">
        <f t="shared" si="3"/>
        <v>0</v>
      </c>
      <c r="G51" s="90" t="e">
        <f t="shared" si="4"/>
        <v>#DIV/0!</v>
      </c>
      <c r="H51" s="149" t="e">
        <f t="shared" si="5"/>
        <v>#DIV/0!</v>
      </c>
      <c r="I51" s="150"/>
      <c r="J51" s="151"/>
      <c r="K51" s="84" t="e">
        <f t="shared" si="6"/>
        <v>#DIV/0!</v>
      </c>
      <c r="L51" s="96" t="e">
        <f t="shared" si="7"/>
        <v>#DIV/0!</v>
      </c>
      <c r="M51" s="85">
        <f t="shared" si="8"/>
        <v>0</v>
      </c>
      <c r="N51" s="96">
        <f>IF(B51=0,0,(5*('Data '!$H$18)*'Inputs and Final Results'!$B$23^4)/(384*M51*$P$13))</f>
        <v>0</v>
      </c>
      <c r="O51" s="85" t="e">
        <f t="shared" si="9"/>
        <v>#DIV/0!</v>
      </c>
      <c r="P51" s="166" t="e">
        <f t="shared" si="10"/>
        <v>#DIV/0!</v>
      </c>
      <c r="Q51" s="167"/>
      <c r="R51" s="166" t="e">
        <f t="shared" si="11"/>
        <v>#DIV/0!</v>
      </c>
      <c r="S51" s="171"/>
      <c r="T51" s="172"/>
    </row>
    <row r="52" spans="2:22">
      <c r="B52" s="93">
        <f t="shared" si="0"/>
        <v>0</v>
      </c>
      <c r="C52" s="134">
        <f t="shared" si="1"/>
        <v>0</v>
      </c>
      <c r="D52" s="135"/>
      <c r="E52" s="83">
        <f t="shared" si="2"/>
        <v>0</v>
      </c>
      <c r="F52" s="96">
        <f t="shared" si="3"/>
        <v>0</v>
      </c>
      <c r="G52" s="90" t="e">
        <f t="shared" si="4"/>
        <v>#DIV/0!</v>
      </c>
      <c r="H52" s="149" t="e">
        <f t="shared" si="5"/>
        <v>#DIV/0!</v>
      </c>
      <c r="I52" s="150"/>
      <c r="J52" s="151"/>
      <c r="K52" s="84" t="e">
        <f t="shared" si="6"/>
        <v>#DIV/0!</v>
      </c>
      <c r="L52" s="96" t="e">
        <f t="shared" si="7"/>
        <v>#DIV/0!</v>
      </c>
      <c r="M52" s="85">
        <f t="shared" si="8"/>
        <v>0</v>
      </c>
      <c r="N52" s="96">
        <f>IF(B52=0,0,(5*('Data '!$H$18)*'Inputs and Final Results'!$B$23^4)/(384*M52*$P$13))</f>
        <v>0</v>
      </c>
      <c r="O52" s="85" t="e">
        <f t="shared" si="9"/>
        <v>#DIV/0!</v>
      </c>
      <c r="P52" s="166" t="e">
        <f t="shared" si="10"/>
        <v>#DIV/0!</v>
      </c>
      <c r="Q52" s="167"/>
      <c r="R52" s="166" t="e">
        <f t="shared" si="11"/>
        <v>#DIV/0!</v>
      </c>
      <c r="S52" s="171"/>
      <c r="T52" s="172"/>
      <c r="U52" s="81"/>
      <c r="V52" s="63"/>
    </row>
    <row r="53" spans="2:22">
      <c r="B53" s="93">
        <f t="shared" si="0"/>
        <v>0</v>
      </c>
      <c r="C53" s="134">
        <f t="shared" si="1"/>
        <v>0</v>
      </c>
      <c r="D53" s="135"/>
      <c r="E53" s="83">
        <f t="shared" si="2"/>
        <v>0</v>
      </c>
      <c r="F53" s="96">
        <f t="shared" si="3"/>
        <v>0</v>
      </c>
      <c r="G53" s="90" t="e">
        <f t="shared" si="4"/>
        <v>#DIV/0!</v>
      </c>
      <c r="H53" s="149" t="e">
        <f t="shared" si="5"/>
        <v>#DIV/0!</v>
      </c>
      <c r="I53" s="150"/>
      <c r="J53" s="151"/>
      <c r="K53" s="84" t="e">
        <f t="shared" si="6"/>
        <v>#DIV/0!</v>
      </c>
      <c r="L53" s="96" t="e">
        <f t="shared" si="7"/>
        <v>#DIV/0!</v>
      </c>
      <c r="M53" s="85">
        <f t="shared" si="8"/>
        <v>0</v>
      </c>
      <c r="N53" s="96">
        <f>IF(B53=0,0,(5*('Data '!$H$18)*'Inputs and Final Results'!$B$23^4)/(384*M53*$P$13))</f>
        <v>0</v>
      </c>
      <c r="O53" s="85" t="e">
        <f t="shared" si="9"/>
        <v>#DIV/0!</v>
      </c>
      <c r="P53" s="166" t="e">
        <f t="shared" si="10"/>
        <v>#DIV/0!</v>
      </c>
      <c r="Q53" s="167"/>
      <c r="R53" s="166" t="e">
        <f t="shared" si="11"/>
        <v>#DIV/0!</v>
      </c>
      <c r="S53" s="171"/>
      <c r="T53" s="172"/>
      <c r="U53" s="81"/>
      <c r="V53" s="63"/>
    </row>
    <row r="54" spans="2:22">
      <c r="B54" s="93">
        <f t="shared" si="0"/>
        <v>0</v>
      </c>
      <c r="C54" s="134">
        <f t="shared" si="1"/>
        <v>0</v>
      </c>
      <c r="D54" s="135"/>
      <c r="E54" s="83">
        <f t="shared" si="2"/>
        <v>0</v>
      </c>
      <c r="F54" s="96">
        <f t="shared" si="3"/>
        <v>0</v>
      </c>
      <c r="G54" s="90" t="e">
        <f t="shared" si="4"/>
        <v>#DIV/0!</v>
      </c>
      <c r="H54" s="149" t="e">
        <f t="shared" si="5"/>
        <v>#DIV/0!</v>
      </c>
      <c r="I54" s="150"/>
      <c r="J54" s="151"/>
      <c r="K54" s="84" t="e">
        <f t="shared" si="6"/>
        <v>#DIV/0!</v>
      </c>
      <c r="L54" s="96" t="e">
        <f t="shared" si="7"/>
        <v>#DIV/0!</v>
      </c>
      <c r="M54" s="85">
        <f t="shared" si="8"/>
        <v>0</v>
      </c>
      <c r="N54" s="96">
        <f>IF(B54=0,0,(5*('Data '!$H$18)*'Inputs and Final Results'!$B$23^4)/(384*M54*$P$13))</f>
        <v>0</v>
      </c>
      <c r="O54" s="85" t="e">
        <f t="shared" si="9"/>
        <v>#DIV/0!</v>
      </c>
      <c r="P54" s="166" t="e">
        <f t="shared" si="10"/>
        <v>#DIV/0!</v>
      </c>
      <c r="Q54" s="167"/>
      <c r="R54" s="166" t="e">
        <f t="shared" si="11"/>
        <v>#DIV/0!</v>
      </c>
      <c r="S54" s="171"/>
      <c r="T54" s="172"/>
      <c r="U54" s="81"/>
    </row>
    <row r="55" spans="2:22">
      <c r="B55" s="93">
        <f t="shared" si="0"/>
        <v>0</v>
      </c>
      <c r="C55" s="134">
        <f t="shared" si="1"/>
        <v>0</v>
      </c>
      <c r="D55" s="135"/>
      <c r="E55" s="83">
        <f t="shared" si="2"/>
        <v>0</v>
      </c>
      <c r="F55" s="96">
        <f t="shared" si="3"/>
        <v>0</v>
      </c>
      <c r="G55" s="90" t="e">
        <f t="shared" si="4"/>
        <v>#DIV/0!</v>
      </c>
      <c r="H55" s="149" t="e">
        <f t="shared" si="5"/>
        <v>#DIV/0!</v>
      </c>
      <c r="I55" s="150"/>
      <c r="J55" s="151"/>
      <c r="K55" s="84" t="e">
        <f t="shared" si="6"/>
        <v>#DIV/0!</v>
      </c>
      <c r="L55" s="96" t="e">
        <f t="shared" si="7"/>
        <v>#DIV/0!</v>
      </c>
      <c r="M55" s="85">
        <f t="shared" si="8"/>
        <v>0</v>
      </c>
      <c r="N55" s="96">
        <f>IF(B55=0,0,(5*('Data '!$H$18)*'Inputs and Final Results'!$B$23^4)/(384*M55*$P$13))</f>
        <v>0</v>
      </c>
      <c r="O55" s="85" t="e">
        <f t="shared" si="9"/>
        <v>#DIV/0!</v>
      </c>
      <c r="P55" s="166" t="e">
        <f t="shared" si="10"/>
        <v>#DIV/0!</v>
      </c>
      <c r="Q55" s="167"/>
      <c r="R55" s="166" t="e">
        <f t="shared" si="11"/>
        <v>#DIV/0!</v>
      </c>
      <c r="S55" s="171"/>
      <c r="T55" s="172"/>
      <c r="U55" s="81"/>
    </row>
    <row r="56" spans="2:22">
      <c r="B56" s="93">
        <f t="shared" si="0"/>
        <v>0</v>
      </c>
      <c r="C56" s="134">
        <f t="shared" si="1"/>
        <v>0</v>
      </c>
      <c r="D56" s="135"/>
      <c r="E56" s="83">
        <f t="shared" si="2"/>
        <v>0</v>
      </c>
      <c r="F56" s="96">
        <f t="shared" si="3"/>
        <v>0</v>
      </c>
      <c r="G56" s="90" t="e">
        <f t="shared" si="4"/>
        <v>#DIV/0!</v>
      </c>
      <c r="H56" s="149" t="e">
        <f t="shared" si="5"/>
        <v>#DIV/0!</v>
      </c>
      <c r="I56" s="150"/>
      <c r="J56" s="151"/>
      <c r="K56" s="84" t="e">
        <f t="shared" si="6"/>
        <v>#DIV/0!</v>
      </c>
      <c r="L56" s="96" t="e">
        <f t="shared" si="7"/>
        <v>#DIV/0!</v>
      </c>
      <c r="M56" s="85">
        <f t="shared" si="8"/>
        <v>0</v>
      </c>
      <c r="N56" s="96">
        <f>IF(B56=0,0,(5*('Data '!$H$18)*'Inputs and Final Results'!$B$23^4)/(384*M56*$P$13))</f>
        <v>0</v>
      </c>
      <c r="O56" s="85" t="e">
        <f t="shared" si="9"/>
        <v>#DIV/0!</v>
      </c>
      <c r="P56" s="166" t="e">
        <f t="shared" si="10"/>
        <v>#DIV/0!</v>
      </c>
      <c r="Q56" s="167"/>
      <c r="R56" s="166" t="e">
        <f t="shared" si="11"/>
        <v>#DIV/0!</v>
      </c>
      <c r="S56" s="171"/>
      <c r="T56" s="172"/>
      <c r="U56" s="81"/>
    </row>
    <row r="57" spans="2:22">
      <c r="B57" s="93">
        <f t="shared" si="0"/>
        <v>0</v>
      </c>
      <c r="C57" s="134">
        <f t="shared" si="1"/>
        <v>0</v>
      </c>
      <c r="D57" s="135"/>
      <c r="E57" s="83">
        <f t="shared" si="2"/>
        <v>0</v>
      </c>
      <c r="F57" s="96">
        <f t="shared" si="3"/>
        <v>0</v>
      </c>
      <c r="G57" s="90" t="e">
        <f t="shared" si="4"/>
        <v>#DIV/0!</v>
      </c>
      <c r="H57" s="149" t="e">
        <f t="shared" si="5"/>
        <v>#DIV/0!</v>
      </c>
      <c r="I57" s="150"/>
      <c r="J57" s="151"/>
      <c r="K57" s="84" t="e">
        <f t="shared" si="6"/>
        <v>#DIV/0!</v>
      </c>
      <c r="L57" s="96" t="e">
        <f t="shared" si="7"/>
        <v>#DIV/0!</v>
      </c>
      <c r="M57" s="85">
        <f t="shared" si="8"/>
        <v>0</v>
      </c>
      <c r="N57" s="96">
        <f>IF(B57=0,0,(5*('Data '!$H$18)*'Inputs and Final Results'!$B$23^4)/(384*M57*$P$13))</f>
        <v>0</v>
      </c>
      <c r="O57" s="85" t="e">
        <f t="shared" si="9"/>
        <v>#DIV/0!</v>
      </c>
      <c r="P57" s="166" t="e">
        <f t="shared" si="10"/>
        <v>#DIV/0!</v>
      </c>
      <c r="Q57" s="167"/>
      <c r="R57" s="166" t="e">
        <f t="shared" si="11"/>
        <v>#DIV/0!</v>
      </c>
      <c r="S57" s="171"/>
      <c r="T57" s="172"/>
      <c r="U57" s="81"/>
    </row>
    <row r="58" spans="2:22">
      <c r="B58" s="93">
        <f t="shared" si="0"/>
        <v>0</v>
      </c>
      <c r="C58" s="134">
        <f t="shared" si="1"/>
        <v>0</v>
      </c>
      <c r="D58" s="135"/>
      <c r="E58" s="83">
        <f t="shared" si="2"/>
        <v>0</v>
      </c>
      <c r="F58" s="96">
        <f t="shared" si="3"/>
        <v>0</v>
      </c>
      <c r="G58" s="90" t="e">
        <f t="shared" si="4"/>
        <v>#DIV/0!</v>
      </c>
      <c r="H58" s="149" t="e">
        <f t="shared" si="5"/>
        <v>#DIV/0!</v>
      </c>
      <c r="I58" s="150"/>
      <c r="J58" s="151"/>
      <c r="K58" s="84" t="e">
        <f t="shared" si="6"/>
        <v>#DIV/0!</v>
      </c>
      <c r="L58" s="96" t="e">
        <f t="shared" si="7"/>
        <v>#DIV/0!</v>
      </c>
      <c r="M58" s="85">
        <f t="shared" si="8"/>
        <v>0</v>
      </c>
      <c r="N58" s="96">
        <f>IF(B58=0,0,(5*('Data '!$H$18)*'Inputs and Final Results'!$B$23^4)/(384*M58*$P$13))</f>
        <v>0</v>
      </c>
      <c r="O58" s="85" t="e">
        <f t="shared" si="9"/>
        <v>#DIV/0!</v>
      </c>
      <c r="P58" s="166" t="e">
        <f t="shared" si="10"/>
        <v>#DIV/0!</v>
      </c>
      <c r="Q58" s="167"/>
      <c r="R58" s="166" t="e">
        <f t="shared" si="11"/>
        <v>#DIV/0!</v>
      </c>
      <c r="S58" s="171"/>
      <c r="T58" s="172"/>
      <c r="U58" s="81"/>
    </row>
    <row r="59" spans="2:22">
      <c r="B59" s="93">
        <f t="shared" si="0"/>
        <v>0</v>
      </c>
      <c r="C59" s="134">
        <f t="shared" si="1"/>
        <v>0</v>
      </c>
      <c r="D59" s="135"/>
      <c r="E59" s="83">
        <f t="shared" si="2"/>
        <v>0</v>
      </c>
      <c r="F59" s="96">
        <f t="shared" si="3"/>
        <v>0</v>
      </c>
      <c r="G59" s="90" t="e">
        <f t="shared" si="4"/>
        <v>#DIV/0!</v>
      </c>
      <c r="H59" s="149" t="e">
        <f t="shared" si="5"/>
        <v>#DIV/0!</v>
      </c>
      <c r="I59" s="150"/>
      <c r="J59" s="151"/>
      <c r="K59" s="84" t="e">
        <f t="shared" si="6"/>
        <v>#DIV/0!</v>
      </c>
      <c r="L59" s="96" t="e">
        <f t="shared" si="7"/>
        <v>#DIV/0!</v>
      </c>
      <c r="M59" s="85">
        <f t="shared" si="8"/>
        <v>0</v>
      </c>
      <c r="N59" s="96">
        <f>IF(B59=0,0,(5*('Data '!$H$18)*'Inputs and Final Results'!$B$23^4)/(384*M59*$P$13))</f>
        <v>0</v>
      </c>
      <c r="O59" s="85" t="e">
        <f t="shared" si="9"/>
        <v>#DIV/0!</v>
      </c>
      <c r="P59" s="166" t="e">
        <f t="shared" si="10"/>
        <v>#DIV/0!</v>
      </c>
      <c r="Q59" s="167"/>
      <c r="R59" s="166" t="e">
        <f t="shared" si="11"/>
        <v>#DIV/0!</v>
      </c>
      <c r="S59" s="171"/>
      <c r="T59" s="172"/>
      <c r="U59" s="81"/>
    </row>
    <row r="60" spans="2:22">
      <c r="B60" s="93">
        <f>B22</f>
        <v>0</v>
      </c>
      <c r="C60" s="134">
        <f t="shared" si="1"/>
        <v>0</v>
      </c>
      <c r="D60" s="135"/>
      <c r="E60" s="83">
        <f t="shared" si="2"/>
        <v>0</v>
      </c>
      <c r="F60" s="96">
        <f t="shared" si="3"/>
        <v>0</v>
      </c>
      <c r="G60" s="90" t="e">
        <f t="shared" si="4"/>
        <v>#DIV/0!</v>
      </c>
      <c r="H60" s="149" t="e">
        <f t="shared" si="5"/>
        <v>#DIV/0!</v>
      </c>
      <c r="I60" s="150"/>
      <c r="J60" s="151"/>
      <c r="K60" s="84" t="e">
        <f t="shared" si="6"/>
        <v>#DIV/0!</v>
      </c>
      <c r="L60" s="96" t="e">
        <f t="shared" si="7"/>
        <v>#DIV/0!</v>
      </c>
      <c r="M60" s="85">
        <f t="shared" si="8"/>
        <v>0</v>
      </c>
      <c r="N60" s="96">
        <f>IF(B60=0,0,(5*('Data '!$H$18)*'Inputs and Final Results'!$B$23^4)/(384*M60*$P$13))</f>
        <v>0</v>
      </c>
      <c r="O60" s="85" t="e">
        <f t="shared" si="9"/>
        <v>#DIV/0!</v>
      </c>
      <c r="P60" s="166" t="e">
        <f t="shared" si="10"/>
        <v>#DIV/0!</v>
      </c>
      <c r="Q60" s="167"/>
      <c r="R60" s="166" t="e">
        <f t="shared" si="11"/>
        <v>#DIV/0!</v>
      </c>
      <c r="S60" s="171"/>
      <c r="T60" s="172"/>
    </row>
    <row r="61" spans="2:22">
      <c r="B61" s="93">
        <f>B60+25</f>
        <v>25</v>
      </c>
      <c r="C61" s="134">
        <f t="shared" si="1"/>
        <v>0</v>
      </c>
      <c r="D61" s="135"/>
      <c r="E61" s="83">
        <f t="shared" si="2"/>
        <v>0</v>
      </c>
      <c r="F61" s="96" t="e">
        <f t="shared" si="3"/>
        <v>#DIV/0!</v>
      </c>
      <c r="G61" s="90" t="e">
        <f t="shared" si="4"/>
        <v>#DIV/0!</v>
      </c>
      <c r="H61" s="149" t="e">
        <f t="shared" si="5"/>
        <v>#DIV/0!</v>
      </c>
      <c r="I61" s="150"/>
      <c r="J61" s="151"/>
      <c r="K61" s="84">
        <f t="shared" si="6"/>
        <v>0</v>
      </c>
      <c r="L61" s="96" t="e">
        <f t="shared" si="7"/>
        <v>#DIV/0!</v>
      </c>
      <c r="M61" s="85">
        <f t="shared" si="8"/>
        <v>0</v>
      </c>
      <c r="N61" s="96" t="e">
        <f>IF(B61=0,0,(5*('Data '!$H$18)*'Inputs and Final Results'!$B$23^4)/(384*M61*$P$13))</f>
        <v>#DIV/0!</v>
      </c>
      <c r="O61" s="85">
        <f t="shared" si="9"/>
        <v>1</v>
      </c>
      <c r="P61" s="166">
        <f t="shared" si="10"/>
        <v>0</v>
      </c>
      <c r="Q61" s="167"/>
      <c r="R61" s="166">
        <f t="shared" si="11"/>
        <v>0</v>
      </c>
      <c r="S61" s="171"/>
      <c r="T61" s="172"/>
    </row>
    <row r="62" spans="2:22">
      <c r="B62" s="93">
        <f t="shared" ref="B62:B70" si="12">B61+25</f>
        <v>50</v>
      </c>
      <c r="C62" s="134">
        <f t="shared" si="1"/>
        <v>0</v>
      </c>
      <c r="D62" s="135"/>
      <c r="E62" s="83">
        <f t="shared" si="2"/>
        <v>0</v>
      </c>
      <c r="F62" s="96" t="e">
        <f t="shared" si="3"/>
        <v>#DIV/0!</v>
      </c>
      <c r="G62" s="90" t="e">
        <f t="shared" si="4"/>
        <v>#DIV/0!</v>
      </c>
      <c r="H62" s="149" t="e">
        <f t="shared" si="5"/>
        <v>#DIV/0!</v>
      </c>
      <c r="I62" s="150"/>
      <c r="J62" s="151"/>
      <c r="K62" s="84">
        <f t="shared" si="6"/>
        <v>0</v>
      </c>
      <c r="L62" s="96" t="e">
        <f t="shared" si="7"/>
        <v>#DIV/0!</v>
      </c>
      <c r="M62" s="85">
        <f t="shared" si="8"/>
        <v>0</v>
      </c>
      <c r="N62" s="96" t="e">
        <f>IF(B62=0,0,(5*('Data '!$H$18)*'Inputs and Final Results'!$B$23^4)/(384*M62*$P$13))</f>
        <v>#DIV/0!</v>
      </c>
      <c r="O62" s="85">
        <f t="shared" si="9"/>
        <v>1</v>
      </c>
      <c r="P62" s="166">
        <f t="shared" si="10"/>
        <v>0</v>
      </c>
      <c r="Q62" s="167"/>
      <c r="R62" s="166">
        <f t="shared" si="11"/>
        <v>0</v>
      </c>
      <c r="S62" s="171"/>
      <c r="T62" s="172"/>
    </row>
    <row r="63" spans="2:22">
      <c r="B63" s="93">
        <f t="shared" si="12"/>
        <v>75</v>
      </c>
      <c r="C63" s="134">
        <f t="shared" si="1"/>
        <v>0</v>
      </c>
      <c r="D63" s="135"/>
      <c r="E63" s="83">
        <f t="shared" si="2"/>
        <v>0</v>
      </c>
      <c r="F63" s="96" t="e">
        <f t="shared" si="3"/>
        <v>#DIV/0!</v>
      </c>
      <c r="G63" s="90" t="e">
        <f t="shared" si="4"/>
        <v>#DIV/0!</v>
      </c>
      <c r="H63" s="149" t="e">
        <f t="shared" si="5"/>
        <v>#DIV/0!</v>
      </c>
      <c r="I63" s="150"/>
      <c r="J63" s="151"/>
      <c r="K63" s="84">
        <f t="shared" si="6"/>
        <v>0</v>
      </c>
      <c r="L63" s="96" t="e">
        <f t="shared" si="7"/>
        <v>#DIV/0!</v>
      </c>
      <c r="M63" s="85">
        <f t="shared" si="8"/>
        <v>0</v>
      </c>
      <c r="N63" s="96" t="e">
        <f>IF(B63=0,0,(5*('Data '!$H$18)*'Inputs and Final Results'!$B$23^4)/(384*M63*$P$13))</f>
        <v>#DIV/0!</v>
      </c>
      <c r="O63" s="85">
        <f t="shared" si="9"/>
        <v>1</v>
      </c>
      <c r="P63" s="166">
        <f t="shared" si="10"/>
        <v>0</v>
      </c>
      <c r="Q63" s="167"/>
      <c r="R63" s="166">
        <f t="shared" si="11"/>
        <v>0</v>
      </c>
      <c r="S63" s="171"/>
      <c r="T63" s="172"/>
    </row>
    <row r="64" spans="2:22">
      <c r="B64" s="93">
        <f t="shared" si="12"/>
        <v>100</v>
      </c>
      <c r="C64" s="134">
        <f t="shared" si="1"/>
        <v>0</v>
      </c>
      <c r="D64" s="135"/>
      <c r="E64" s="83">
        <f t="shared" si="2"/>
        <v>0</v>
      </c>
      <c r="F64" s="96" t="e">
        <f t="shared" si="3"/>
        <v>#DIV/0!</v>
      </c>
      <c r="G64" s="90" t="e">
        <f t="shared" si="4"/>
        <v>#DIV/0!</v>
      </c>
      <c r="H64" s="149" t="e">
        <f t="shared" si="5"/>
        <v>#DIV/0!</v>
      </c>
      <c r="I64" s="150"/>
      <c r="J64" s="151"/>
      <c r="K64" s="84">
        <f t="shared" si="6"/>
        <v>0</v>
      </c>
      <c r="L64" s="96" t="e">
        <f t="shared" si="7"/>
        <v>#DIV/0!</v>
      </c>
      <c r="M64" s="85">
        <f t="shared" si="8"/>
        <v>0</v>
      </c>
      <c r="N64" s="96" t="e">
        <f>IF(B64=0,0,(5*('Data '!$H$18)*'Inputs and Final Results'!$B$23^4)/(384*M64*$P$13))</f>
        <v>#DIV/0!</v>
      </c>
      <c r="O64" s="85">
        <f t="shared" si="9"/>
        <v>1</v>
      </c>
      <c r="P64" s="166">
        <f t="shared" si="10"/>
        <v>0</v>
      </c>
      <c r="Q64" s="167"/>
      <c r="R64" s="166">
        <f t="shared" si="11"/>
        <v>0</v>
      </c>
      <c r="S64" s="171"/>
      <c r="T64" s="172"/>
    </row>
    <row r="65" spans="2:21">
      <c r="B65" s="93">
        <f t="shared" si="12"/>
        <v>125</v>
      </c>
      <c r="C65" s="134">
        <f t="shared" si="1"/>
        <v>0</v>
      </c>
      <c r="D65" s="135"/>
      <c r="E65" s="83">
        <f t="shared" si="2"/>
        <v>0</v>
      </c>
      <c r="F65" s="96" t="e">
        <f t="shared" si="3"/>
        <v>#DIV/0!</v>
      </c>
      <c r="G65" s="90" t="e">
        <f t="shared" si="4"/>
        <v>#DIV/0!</v>
      </c>
      <c r="H65" s="149" t="e">
        <f t="shared" si="5"/>
        <v>#DIV/0!</v>
      </c>
      <c r="I65" s="150"/>
      <c r="J65" s="151"/>
      <c r="K65" s="84">
        <f t="shared" si="6"/>
        <v>0</v>
      </c>
      <c r="L65" s="96" t="e">
        <f t="shared" si="7"/>
        <v>#DIV/0!</v>
      </c>
      <c r="M65" s="85">
        <f t="shared" si="8"/>
        <v>0</v>
      </c>
      <c r="N65" s="96" t="e">
        <f>IF(B65=0,0,(5*('Data '!$H$18)*'Inputs and Final Results'!$B$23^4)/(384*M65*$P$13))</f>
        <v>#DIV/0!</v>
      </c>
      <c r="O65" s="85">
        <f t="shared" si="9"/>
        <v>1</v>
      </c>
      <c r="P65" s="166">
        <f t="shared" si="10"/>
        <v>0</v>
      </c>
      <c r="Q65" s="167"/>
      <c r="R65" s="166">
        <f t="shared" si="11"/>
        <v>0</v>
      </c>
      <c r="S65" s="171"/>
      <c r="T65" s="172"/>
    </row>
    <row r="66" spans="2:21">
      <c r="B66" s="93">
        <f t="shared" si="12"/>
        <v>150</v>
      </c>
      <c r="C66" s="134">
        <f t="shared" si="1"/>
        <v>0</v>
      </c>
      <c r="D66" s="135"/>
      <c r="E66" s="83">
        <f t="shared" si="2"/>
        <v>0</v>
      </c>
      <c r="F66" s="96" t="e">
        <f t="shared" si="3"/>
        <v>#DIV/0!</v>
      </c>
      <c r="G66" s="90" t="e">
        <f t="shared" si="4"/>
        <v>#DIV/0!</v>
      </c>
      <c r="H66" s="149" t="e">
        <f t="shared" si="5"/>
        <v>#DIV/0!</v>
      </c>
      <c r="I66" s="150"/>
      <c r="J66" s="151"/>
      <c r="K66" s="84">
        <f t="shared" si="6"/>
        <v>0</v>
      </c>
      <c r="L66" s="96" t="e">
        <f t="shared" si="7"/>
        <v>#DIV/0!</v>
      </c>
      <c r="M66" s="85">
        <f t="shared" si="8"/>
        <v>0</v>
      </c>
      <c r="N66" s="96" t="e">
        <f>IF(B66=0,0,(5*('Data '!$H$18)*'Inputs and Final Results'!$B$23^4)/(384*M66*$P$13))</f>
        <v>#DIV/0!</v>
      </c>
      <c r="O66" s="85">
        <f t="shared" si="9"/>
        <v>1</v>
      </c>
      <c r="P66" s="166">
        <f t="shared" si="10"/>
        <v>0</v>
      </c>
      <c r="Q66" s="167"/>
      <c r="R66" s="166">
        <f t="shared" si="11"/>
        <v>0</v>
      </c>
      <c r="S66" s="171"/>
      <c r="T66" s="172"/>
    </row>
    <row r="67" spans="2:21">
      <c r="B67" s="93">
        <f t="shared" si="12"/>
        <v>175</v>
      </c>
      <c r="C67" s="134">
        <f t="shared" si="1"/>
        <v>0</v>
      </c>
      <c r="D67" s="135"/>
      <c r="E67" s="83">
        <f t="shared" si="2"/>
        <v>0</v>
      </c>
      <c r="F67" s="96" t="e">
        <f t="shared" si="3"/>
        <v>#DIV/0!</v>
      </c>
      <c r="G67" s="90" t="e">
        <f t="shared" si="4"/>
        <v>#DIV/0!</v>
      </c>
      <c r="H67" s="149" t="e">
        <f t="shared" si="5"/>
        <v>#DIV/0!</v>
      </c>
      <c r="I67" s="150"/>
      <c r="J67" s="151"/>
      <c r="K67" s="84">
        <f t="shared" si="6"/>
        <v>0</v>
      </c>
      <c r="L67" s="96" t="e">
        <f t="shared" si="7"/>
        <v>#DIV/0!</v>
      </c>
      <c r="M67" s="85">
        <f t="shared" si="8"/>
        <v>0</v>
      </c>
      <c r="N67" s="96" t="e">
        <f>IF(B67=0,0,(5*('Data '!$H$18)*'Inputs and Final Results'!$B$23^4)/(384*M67*$P$13))</f>
        <v>#DIV/0!</v>
      </c>
      <c r="O67" s="85">
        <f t="shared" si="9"/>
        <v>1</v>
      </c>
      <c r="P67" s="166">
        <f t="shared" si="10"/>
        <v>0</v>
      </c>
      <c r="Q67" s="167"/>
      <c r="R67" s="166">
        <f t="shared" si="11"/>
        <v>0</v>
      </c>
      <c r="S67" s="171"/>
      <c r="T67" s="172"/>
    </row>
    <row r="68" spans="2:21">
      <c r="B68" s="93">
        <f t="shared" si="12"/>
        <v>200</v>
      </c>
      <c r="C68" s="134">
        <f t="shared" si="1"/>
        <v>0</v>
      </c>
      <c r="D68" s="135"/>
      <c r="E68" s="83">
        <f t="shared" si="2"/>
        <v>0</v>
      </c>
      <c r="F68" s="96" t="e">
        <f t="shared" si="3"/>
        <v>#DIV/0!</v>
      </c>
      <c r="G68" s="90" t="e">
        <f t="shared" si="4"/>
        <v>#DIV/0!</v>
      </c>
      <c r="H68" s="149" t="e">
        <f t="shared" si="5"/>
        <v>#DIV/0!</v>
      </c>
      <c r="I68" s="150"/>
      <c r="J68" s="151"/>
      <c r="K68" s="84">
        <f t="shared" si="6"/>
        <v>0</v>
      </c>
      <c r="L68" s="96" t="e">
        <f t="shared" si="7"/>
        <v>#DIV/0!</v>
      </c>
      <c r="M68" s="85">
        <f t="shared" si="8"/>
        <v>0</v>
      </c>
      <c r="N68" s="96" t="e">
        <f>IF(B68=0,0,(5*('Data '!$H$18)*'Inputs and Final Results'!$B$23^4)/(384*M68*$P$13))</f>
        <v>#DIV/0!</v>
      </c>
      <c r="O68" s="85">
        <f t="shared" si="9"/>
        <v>1</v>
      </c>
      <c r="P68" s="166">
        <f t="shared" si="10"/>
        <v>0</v>
      </c>
      <c r="Q68" s="167"/>
      <c r="R68" s="166">
        <f t="shared" si="11"/>
        <v>0</v>
      </c>
      <c r="S68" s="171"/>
      <c r="T68" s="172"/>
    </row>
    <row r="69" spans="2:21">
      <c r="B69" s="93">
        <f t="shared" si="12"/>
        <v>225</v>
      </c>
      <c r="C69" s="134">
        <f t="shared" si="1"/>
        <v>0</v>
      </c>
      <c r="D69" s="135"/>
      <c r="E69" s="83">
        <f t="shared" si="2"/>
        <v>0</v>
      </c>
      <c r="F69" s="96" t="e">
        <f t="shared" si="3"/>
        <v>#DIV/0!</v>
      </c>
      <c r="G69" s="90" t="e">
        <f t="shared" si="4"/>
        <v>#DIV/0!</v>
      </c>
      <c r="H69" s="149" t="e">
        <f t="shared" si="5"/>
        <v>#DIV/0!</v>
      </c>
      <c r="I69" s="150"/>
      <c r="J69" s="151"/>
      <c r="K69" s="84">
        <f t="shared" si="6"/>
        <v>0</v>
      </c>
      <c r="L69" s="96" t="e">
        <f t="shared" si="7"/>
        <v>#DIV/0!</v>
      </c>
      <c r="M69" s="85">
        <f t="shared" si="8"/>
        <v>0</v>
      </c>
      <c r="N69" s="96" t="e">
        <f>IF(B69=0,0,(5*('Data '!$H$18)*'Inputs and Final Results'!$B$23^4)/(384*M69*$P$13))</f>
        <v>#DIV/0!</v>
      </c>
      <c r="O69" s="85">
        <f t="shared" si="9"/>
        <v>1</v>
      </c>
      <c r="P69" s="166">
        <f t="shared" si="10"/>
        <v>0</v>
      </c>
      <c r="Q69" s="167"/>
      <c r="R69" s="166">
        <f t="shared" si="11"/>
        <v>0</v>
      </c>
      <c r="S69" s="171"/>
      <c r="T69" s="172"/>
    </row>
    <row r="70" spans="2:21" ht="15.75" thickBot="1">
      <c r="B70" s="94">
        <f t="shared" si="12"/>
        <v>250</v>
      </c>
      <c r="C70" s="155">
        <f t="shared" si="1"/>
        <v>0</v>
      </c>
      <c r="D70" s="156"/>
      <c r="E70" s="92">
        <f t="shared" si="2"/>
        <v>0</v>
      </c>
      <c r="F70" s="97" t="e">
        <f t="shared" si="3"/>
        <v>#DIV/0!</v>
      </c>
      <c r="G70" s="91" t="e">
        <f t="shared" si="4"/>
        <v>#DIV/0!</v>
      </c>
      <c r="H70" s="143" t="e">
        <f t="shared" si="5"/>
        <v>#DIV/0!</v>
      </c>
      <c r="I70" s="144"/>
      <c r="J70" s="145"/>
      <c r="K70" s="95">
        <f t="shared" si="6"/>
        <v>0</v>
      </c>
      <c r="L70" s="97" t="e">
        <f t="shared" si="7"/>
        <v>#DIV/0!</v>
      </c>
      <c r="M70" s="86">
        <f t="shared" si="8"/>
        <v>0</v>
      </c>
      <c r="N70" s="97" t="e">
        <f>IF(B70=0,0,(5*('Data '!$H$18)*'Inputs and Final Results'!$B$23^4)/(384*M70*$P$13))</f>
        <v>#DIV/0!</v>
      </c>
      <c r="O70" s="86">
        <f t="shared" si="9"/>
        <v>1</v>
      </c>
      <c r="P70" s="173">
        <f t="shared" si="10"/>
        <v>0</v>
      </c>
      <c r="Q70" s="174"/>
      <c r="R70" s="173">
        <f t="shared" si="11"/>
        <v>0</v>
      </c>
      <c r="S70" s="199"/>
      <c r="T70" s="200"/>
    </row>
    <row r="72" spans="2:21">
      <c r="B72" s="188" t="s">
        <v>173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</row>
    <row r="73" spans="2:21" ht="15.75" thickBot="1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  <row r="74" spans="2:21">
      <c r="B74" s="186" t="s">
        <v>159</v>
      </c>
      <c r="C74" s="136" t="s">
        <v>150</v>
      </c>
      <c r="D74" s="137"/>
      <c r="E74" s="137"/>
      <c r="F74" s="138"/>
      <c r="G74" s="136" t="s">
        <v>152</v>
      </c>
      <c r="H74" s="137"/>
      <c r="I74" s="137"/>
      <c r="J74" s="137"/>
      <c r="K74" s="138"/>
      <c r="L74" s="136" t="s">
        <v>148</v>
      </c>
      <c r="M74" s="138"/>
      <c r="N74" s="179" t="s">
        <v>171</v>
      </c>
      <c r="O74" s="180"/>
      <c r="P74" s="180"/>
      <c r="Q74" s="180"/>
      <c r="R74" s="180"/>
      <c r="S74" s="180"/>
      <c r="T74" s="180"/>
      <c r="U74" s="181"/>
    </row>
    <row r="75" spans="2:21" ht="15.75" thickBot="1">
      <c r="B75" s="187"/>
      <c r="C75" s="139" t="s">
        <v>151</v>
      </c>
      <c r="D75" s="140"/>
      <c r="E75" s="106" t="s">
        <v>149</v>
      </c>
      <c r="F75" s="107" t="s">
        <v>176</v>
      </c>
      <c r="G75" s="108" t="s">
        <v>153</v>
      </c>
      <c r="H75" s="146" t="s">
        <v>160</v>
      </c>
      <c r="I75" s="147"/>
      <c r="J75" s="148"/>
      <c r="K75" s="107" t="s">
        <v>165</v>
      </c>
      <c r="L75" s="108" t="s">
        <v>161</v>
      </c>
      <c r="M75" s="107" t="s">
        <v>148</v>
      </c>
      <c r="N75" s="108" t="s">
        <v>167</v>
      </c>
      <c r="O75" s="106" t="s">
        <v>172</v>
      </c>
      <c r="P75" s="106" t="s">
        <v>168</v>
      </c>
      <c r="Q75" s="182" t="s">
        <v>169</v>
      </c>
      <c r="R75" s="182"/>
      <c r="S75" s="182"/>
      <c r="T75" s="182" t="s">
        <v>175</v>
      </c>
      <c r="U75" s="184"/>
    </row>
    <row r="76" spans="2:21">
      <c r="B76" s="100">
        <f t="shared" ref="B76:B85" si="13">MAX(B77-25,0)</f>
        <v>0</v>
      </c>
      <c r="C76" s="141">
        <f t="shared" ref="C76:C96" si="14">B76*$B$22</f>
        <v>0</v>
      </c>
      <c r="D76" s="142"/>
      <c r="E76" s="101">
        <f t="shared" ref="E76:E96" si="15">C76*$B$23/1000^3</f>
        <v>0</v>
      </c>
      <c r="F76" s="102">
        <f t="shared" ref="F76:F96" si="16">IF(B76=0,0,MIN((($L$21*$L$22*0.48*C76*$P$21*$P$22*E76^(-0.18))/1000),(($L$21*$L$22*2*C76/3*$P$21)/1000)))</f>
        <v>0</v>
      </c>
      <c r="G76" s="103">
        <f t="shared" ref="G76:G96" si="17">IF(B76=0,0,MIN(1.03*(((B76/1000)*($B$23/1000))^(-0.18)),1))</f>
        <v>0</v>
      </c>
      <c r="H76" s="160" t="e">
        <f t="shared" ref="H76:H96" si="18">((B76*$B$22^3)/12)/($B$22/2)</f>
        <v>#DIV/0!</v>
      </c>
      <c r="I76" s="161"/>
      <c r="J76" s="162"/>
      <c r="K76" s="111" t="e">
        <f t="shared" ref="K76:K96" si="19">MIN($L$28*$L$29*H76*$L$30*G76,$L$28*$L$29*H76*$L$30*$P$31)/1000000</f>
        <v>#DIV/0!</v>
      </c>
      <c r="L76" s="112">
        <f t="shared" ref="L76:L96" si="20">(B76*$B$22^3)/12</f>
        <v>0</v>
      </c>
      <c r="M76" s="102">
        <f>IF(B76=0,0,(5*('Data '!$H$18)*'Inputs and Final Results'!$B$23^4)/(384*L76*$P$13))</f>
        <v>0</v>
      </c>
      <c r="N76" s="105" t="e">
        <f t="shared" ref="N76:N96" si="21">IF(OR(B76/$B$22&lt;1,B76/$B$22=1),1,IF(B76/$B$22&lt;2,(1.15-0.15*(2-B76/$B$22)),1.15))</f>
        <v>#DIV/0!</v>
      </c>
      <c r="O76" s="113">
        <f t="shared" ref="O76:O96" si="22">B76*$B$24</f>
        <v>0</v>
      </c>
      <c r="P76" s="113">
        <f t="shared" ref="P76:P96" si="23">MIN(B76*($B$24+$B$22)/2,1.5*B76*$B$24)</f>
        <v>0</v>
      </c>
      <c r="Q76" s="183" t="e">
        <f t="shared" ref="Q76:Q96" si="24">$T$21*$T$22*O76*$X$21*N76/1000</f>
        <v>#DIV/0!</v>
      </c>
      <c r="R76" s="183"/>
      <c r="S76" s="183"/>
      <c r="T76" s="183" t="e">
        <f t="shared" ref="T76:T96" si="25">(2/3*$T$28*$T$29*P76*$X$28*N76)/1000</f>
        <v>#DIV/0!</v>
      </c>
      <c r="U76" s="185"/>
    </row>
    <row r="77" spans="2:21">
      <c r="B77" s="93">
        <f t="shared" si="13"/>
        <v>0</v>
      </c>
      <c r="C77" s="134">
        <f t="shared" si="14"/>
        <v>0</v>
      </c>
      <c r="D77" s="135"/>
      <c r="E77" s="83">
        <f t="shared" si="15"/>
        <v>0</v>
      </c>
      <c r="F77" s="96">
        <f t="shared" si="16"/>
        <v>0</v>
      </c>
      <c r="G77" s="90">
        <f t="shared" si="17"/>
        <v>0</v>
      </c>
      <c r="H77" s="163" t="e">
        <f t="shared" si="18"/>
        <v>#DIV/0!</v>
      </c>
      <c r="I77" s="164"/>
      <c r="J77" s="165"/>
      <c r="K77" s="98" t="e">
        <f t="shared" si="19"/>
        <v>#DIV/0!</v>
      </c>
      <c r="L77" s="88">
        <f t="shared" si="20"/>
        <v>0</v>
      </c>
      <c r="M77" s="96">
        <f>IF(B77=0,0,(5*('Data '!$H$18)*'Inputs and Final Results'!$B$23^4)/(384*L77*$P$13))</f>
        <v>0</v>
      </c>
      <c r="N77" s="85" t="e">
        <f t="shared" si="21"/>
        <v>#DIV/0!</v>
      </c>
      <c r="O77" s="82">
        <f t="shared" si="22"/>
        <v>0</v>
      </c>
      <c r="P77" s="82">
        <f t="shared" si="23"/>
        <v>0</v>
      </c>
      <c r="Q77" s="175" t="e">
        <f t="shared" si="24"/>
        <v>#DIV/0!</v>
      </c>
      <c r="R77" s="175"/>
      <c r="S77" s="175"/>
      <c r="T77" s="175" t="e">
        <f t="shared" si="25"/>
        <v>#DIV/0!</v>
      </c>
      <c r="U77" s="176"/>
    </row>
    <row r="78" spans="2:21">
      <c r="B78" s="93">
        <f t="shared" si="13"/>
        <v>0</v>
      </c>
      <c r="C78" s="134">
        <f t="shared" si="14"/>
        <v>0</v>
      </c>
      <c r="D78" s="135"/>
      <c r="E78" s="83">
        <f t="shared" si="15"/>
        <v>0</v>
      </c>
      <c r="F78" s="96">
        <f t="shared" si="16"/>
        <v>0</v>
      </c>
      <c r="G78" s="90">
        <f t="shared" si="17"/>
        <v>0</v>
      </c>
      <c r="H78" s="163" t="e">
        <f t="shared" si="18"/>
        <v>#DIV/0!</v>
      </c>
      <c r="I78" s="164"/>
      <c r="J78" s="165"/>
      <c r="K78" s="98" t="e">
        <f t="shared" si="19"/>
        <v>#DIV/0!</v>
      </c>
      <c r="L78" s="88">
        <f t="shared" si="20"/>
        <v>0</v>
      </c>
      <c r="M78" s="96">
        <f>IF(B78=0,0,(5*('Data '!$H$18)*'Inputs and Final Results'!$B$23^4)/(384*L78*$P$13))</f>
        <v>0</v>
      </c>
      <c r="N78" s="85" t="e">
        <f t="shared" si="21"/>
        <v>#DIV/0!</v>
      </c>
      <c r="O78" s="82">
        <f t="shared" si="22"/>
        <v>0</v>
      </c>
      <c r="P78" s="82">
        <f t="shared" si="23"/>
        <v>0</v>
      </c>
      <c r="Q78" s="175" t="e">
        <f t="shared" si="24"/>
        <v>#DIV/0!</v>
      </c>
      <c r="R78" s="175"/>
      <c r="S78" s="175"/>
      <c r="T78" s="175" t="e">
        <f t="shared" si="25"/>
        <v>#DIV/0!</v>
      </c>
      <c r="U78" s="176"/>
    </row>
    <row r="79" spans="2:21">
      <c r="B79" s="93">
        <f t="shared" si="13"/>
        <v>0</v>
      </c>
      <c r="C79" s="134">
        <f t="shared" si="14"/>
        <v>0</v>
      </c>
      <c r="D79" s="135"/>
      <c r="E79" s="83">
        <f t="shared" si="15"/>
        <v>0</v>
      </c>
      <c r="F79" s="96">
        <f t="shared" si="16"/>
        <v>0</v>
      </c>
      <c r="G79" s="90">
        <f t="shared" si="17"/>
        <v>0</v>
      </c>
      <c r="H79" s="163" t="e">
        <f t="shared" si="18"/>
        <v>#DIV/0!</v>
      </c>
      <c r="I79" s="164"/>
      <c r="J79" s="165"/>
      <c r="K79" s="98" t="e">
        <f t="shared" si="19"/>
        <v>#DIV/0!</v>
      </c>
      <c r="L79" s="88">
        <f t="shared" si="20"/>
        <v>0</v>
      </c>
      <c r="M79" s="96">
        <f>IF(B79=0,0,(5*('Data '!$H$18)*'Inputs and Final Results'!$B$23^4)/(384*L79*$P$13))</f>
        <v>0</v>
      </c>
      <c r="N79" s="85" t="e">
        <f t="shared" si="21"/>
        <v>#DIV/0!</v>
      </c>
      <c r="O79" s="82">
        <f t="shared" si="22"/>
        <v>0</v>
      </c>
      <c r="P79" s="82">
        <f t="shared" si="23"/>
        <v>0</v>
      </c>
      <c r="Q79" s="175" t="e">
        <f t="shared" si="24"/>
        <v>#DIV/0!</v>
      </c>
      <c r="R79" s="175"/>
      <c r="S79" s="175"/>
      <c r="T79" s="175" t="e">
        <f t="shared" si="25"/>
        <v>#DIV/0!</v>
      </c>
      <c r="U79" s="176"/>
    </row>
    <row r="80" spans="2:21">
      <c r="B80" s="93">
        <f t="shared" si="13"/>
        <v>0</v>
      </c>
      <c r="C80" s="134">
        <f t="shared" si="14"/>
        <v>0</v>
      </c>
      <c r="D80" s="135"/>
      <c r="E80" s="83">
        <f t="shared" si="15"/>
        <v>0</v>
      </c>
      <c r="F80" s="96">
        <f t="shared" si="16"/>
        <v>0</v>
      </c>
      <c r="G80" s="90">
        <f t="shared" si="17"/>
        <v>0</v>
      </c>
      <c r="H80" s="163" t="e">
        <f t="shared" si="18"/>
        <v>#DIV/0!</v>
      </c>
      <c r="I80" s="164"/>
      <c r="J80" s="165"/>
      <c r="K80" s="98" t="e">
        <f t="shared" si="19"/>
        <v>#DIV/0!</v>
      </c>
      <c r="L80" s="88">
        <f t="shared" si="20"/>
        <v>0</v>
      </c>
      <c r="M80" s="96">
        <f>IF(B80=0,0,(5*('Data '!$H$18)*'Inputs and Final Results'!$B$23^4)/(384*L80*$P$13))</f>
        <v>0</v>
      </c>
      <c r="N80" s="85" t="e">
        <f t="shared" si="21"/>
        <v>#DIV/0!</v>
      </c>
      <c r="O80" s="82">
        <f t="shared" si="22"/>
        <v>0</v>
      </c>
      <c r="P80" s="82">
        <f t="shared" si="23"/>
        <v>0</v>
      </c>
      <c r="Q80" s="175" t="e">
        <f t="shared" si="24"/>
        <v>#DIV/0!</v>
      </c>
      <c r="R80" s="175"/>
      <c r="S80" s="175"/>
      <c r="T80" s="175" t="e">
        <f t="shared" si="25"/>
        <v>#DIV/0!</v>
      </c>
      <c r="U80" s="176"/>
    </row>
    <row r="81" spans="2:21">
      <c r="B81" s="93">
        <f t="shared" si="13"/>
        <v>0</v>
      </c>
      <c r="C81" s="134">
        <f t="shared" si="14"/>
        <v>0</v>
      </c>
      <c r="D81" s="135"/>
      <c r="E81" s="83">
        <f t="shared" si="15"/>
        <v>0</v>
      </c>
      <c r="F81" s="96">
        <f t="shared" si="16"/>
        <v>0</v>
      </c>
      <c r="G81" s="90">
        <f t="shared" si="17"/>
        <v>0</v>
      </c>
      <c r="H81" s="163" t="e">
        <f t="shared" si="18"/>
        <v>#DIV/0!</v>
      </c>
      <c r="I81" s="164"/>
      <c r="J81" s="165"/>
      <c r="K81" s="98" t="e">
        <f t="shared" si="19"/>
        <v>#DIV/0!</v>
      </c>
      <c r="L81" s="88">
        <f t="shared" si="20"/>
        <v>0</v>
      </c>
      <c r="M81" s="96">
        <f>IF(B81=0,0,(5*('Data '!$H$18)*'Inputs and Final Results'!$B$23^4)/(384*L81*$P$13))</f>
        <v>0</v>
      </c>
      <c r="N81" s="85" t="e">
        <f t="shared" si="21"/>
        <v>#DIV/0!</v>
      </c>
      <c r="O81" s="82">
        <f t="shared" si="22"/>
        <v>0</v>
      </c>
      <c r="P81" s="82">
        <f t="shared" si="23"/>
        <v>0</v>
      </c>
      <c r="Q81" s="175" t="e">
        <f t="shared" si="24"/>
        <v>#DIV/0!</v>
      </c>
      <c r="R81" s="175"/>
      <c r="S81" s="175"/>
      <c r="T81" s="175" t="e">
        <f t="shared" si="25"/>
        <v>#DIV/0!</v>
      </c>
      <c r="U81" s="176"/>
    </row>
    <row r="82" spans="2:21">
      <c r="B82" s="93">
        <f t="shared" si="13"/>
        <v>0</v>
      </c>
      <c r="C82" s="134">
        <f t="shared" si="14"/>
        <v>0</v>
      </c>
      <c r="D82" s="135"/>
      <c r="E82" s="83">
        <f t="shared" si="15"/>
        <v>0</v>
      </c>
      <c r="F82" s="96">
        <f t="shared" si="16"/>
        <v>0</v>
      </c>
      <c r="G82" s="90">
        <f t="shared" si="17"/>
        <v>0</v>
      </c>
      <c r="H82" s="163" t="e">
        <f t="shared" si="18"/>
        <v>#DIV/0!</v>
      </c>
      <c r="I82" s="164"/>
      <c r="J82" s="165"/>
      <c r="K82" s="98" t="e">
        <f t="shared" si="19"/>
        <v>#DIV/0!</v>
      </c>
      <c r="L82" s="88">
        <f t="shared" si="20"/>
        <v>0</v>
      </c>
      <c r="M82" s="96">
        <f>IF(B82=0,0,(5*('Data '!$H$18)*'Inputs and Final Results'!$B$23^4)/(384*L82*$P$13))</f>
        <v>0</v>
      </c>
      <c r="N82" s="85" t="e">
        <f t="shared" si="21"/>
        <v>#DIV/0!</v>
      </c>
      <c r="O82" s="82">
        <f t="shared" si="22"/>
        <v>0</v>
      </c>
      <c r="P82" s="82">
        <f t="shared" si="23"/>
        <v>0</v>
      </c>
      <c r="Q82" s="175" t="e">
        <f t="shared" si="24"/>
        <v>#DIV/0!</v>
      </c>
      <c r="R82" s="175"/>
      <c r="S82" s="175"/>
      <c r="T82" s="175" t="e">
        <f t="shared" si="25"/>
        <v>#DIV/0!</v>
      </c>
      <c r="U82" s="176"/>
    </row>
    <row r="83" spans="2:21">
      <c r="B83" s="93">
        <f t="shared" si="13"/>
        <v>0</v>
      </c>
      <c r="C83" s="134">
        <f t="shared" si="14"/>
        <v>0</v>
      </c>
      <c r="D83" s="135"/>
      <c r="E83" s="83">
        <f t="shared" si="15"/>
        <v>0</v>
      </c>
      <c r="F83" s="96">
        <f t="shared" si="16"/>
        <v>0</v>
      </c>
      <c r="G83" s="90">
        <f t="shared" si="17"/>
        <v>0</v>
      </c>
      <c r="H83" s="163" t="e">
        <f t="shared" si="18"/>
        <v>#DIV/0!</v>
      </c>
      <c r="I83" s="164"/>
      <c r="J83" s="165"/>
      <c r="K83" s="98" t="e">
        <f t="shared" si="19"/>
        <v>#DIV/0!</v>
      </c>
      <c r="L83" s="88">
        <f t="shared" si="20"/>
        <v>0</v>
      </c>
      <c r="M83" s="96">
        <f>IF(B83=0,0,(5*('Data '!$H$18)*'Inputs and Final Results'!$B$23^4)/(384*L83*$P$13))</f>
        <v>0</v>
      </c>
      <c r="N83" s="85" t="e">
        <f t="shared" si="21"/>
        <v>#DIV/0!</v>
      </c>
      <c r="O83" s="82">
        <f t="shared" si="22"/>
        <v>0</v>
      </c>
      <c r="P83" s="82">
        <f t="shared" si="23"/>
        <v>0</v>
      </c>
      <c r="Q83" s="175" t="e">
        <f t="shared" si="24"/>
        <v>#DIV/0!</v>
      </c>
      <c r="R83" s="175"/>
      <c r="S83" s="175"/>
      <c r="T83" s="175" t="e">
        <f t="shared" si="25"/>
        <v>#DIV/0!</v>
      </c>
      <c r="U83" s="176"/>
    </row>
    <row r="84" spans="2:21">
      <c r="B84" s="93">
        <f t="shared" si="13"/>
        <v>0</v>
      </c>
      <c r="C84" s="134">
        <f t="shared" si="14"/>
        <v>0</v>
      </c>
      <c r="D84" s="135"/>
      <c r="E84" s="83">
        <f t="shared" si="15"/>
        <v>0</v>
      </c>
      <c r="F84" s="96">
        <f t="shared" si="16"/>
        <v>0</v>
      </c>
      <c r="G84" s="90">
        <f t="shared" si="17"/>
        <v>0</v>
      </c>
      <c r="H84" s="163" t="e">
        <f t="shared" si="18"/>
        <v>#DIV/0!</v>
      </c>
      <c r="I84" s="164"/>
      <c r="J84" s="165"/>
      <c r="K84" s="98" t="e">
        <f t="shared" si="19"/>
        <v>#DIV/0!</v>
      </c>
      <c r="L84" s="88">
        <f t="shared" si="20"/>
        <v>0</v>
      </c>
      <c r="M84" s="96">
        <f>IF(B84=0,0,(5*('Data '!$H$18)*'Inputs and Final Results'!$B$23^4)/(384*L84*$P$13))</f>
        <v>0</v>
      </c>
      <c r="N84" s="85" t="e">
        <f t="shared" si="21"/>
        <v>#DIV/0!</v>
      </c>
      <c r="O84" s="82">
        <f t="shared" si="22"/>
        <v>0</v>
      </c>
      <c r="P84" s="82">
        <f t="shared" si="23"/>
        <v>0</v>
      </c>
      <c r="Q84" s="175" t="e">
        <f t="shared" si="24"/>
        <v>#DIV/0!</v>
      </c>
      <c r="R84" s="175"/>
      <c r="S84" s="175"/>
      <c r="T84" s="175" t="e">
        <f t="shared" si="25"/>
        <v>#DIV/0!</v>
      </c>
      <c r="U84" s="176"/>
    </row>
    <row r="85" spans="2:21">
      <c r="B85" s="93">
        <f t="shared" si="13"/>
        <v>0</v>
      </c>
      <c r="C85" s="134">
        <f t="shared" si="14"/>
        <v>0</v>
      </c>
      <c r="D85" s="135"/>
      <c r="E85" s="83">
        <f t="shared" si="15"/>
        <v>0</v>
      </c>
      <c r="F85" s="96">
        <f t="shared" si="16"/>
        <v>0</v>
      </c>
      <c r="G85" s="90">
        <f t="shared" si="17"/>
        <v>0</v>
      </c>
      <c r="H85" s="163" t="e">
        <f t="shared" si="18"/>
        <v>#DIV/0!</v>
      </c>
      <c r="I85" s="164"/>
      <c r="J85" s="165"/>
      <c r="K85" s="98" t="e">
        <f t="shared" si="19"/>
        <v>#DIV/0!</v>
      </c>
      <c r="L85" s="88">
        <f t="shared" si="20"/>
        <v>0</v>
      </c>
      <c r="M85" s="96">
        <f>IF(B85=0,0,(5*('Data '!$H$18)*'Inputs and Final Results'!$B$23^4)/(384*L85*$P$13))</f>
        <v>0</v>
      </c>
      <c r="N85" s="85" t="e">
        <f t="shared" si="21"/>
        <v>#DIV/0!</v>
      </c>
      <c r="O85" s="82">
        <f t="shared" si="22"/>
        <v>0</v>
      </c>
      <c r="P85" s="82">
        <f t="shared" si="23"/>
        <v>0</v>
      </c>
      <c r="Q85" s="175" t="e">
        <f t="shared" si="24"/>
        <v>#DIV/0!</v>
      </c>
      <c r="R85" s="175"/>
      <c r="S85" s="175"/>
      <c r="T85" s="175" t="e">
        <f t="shared" si="25"/>
        <v>#DIV/0!</v>
      </c>
      <c r="U85" s="176"/>
    </row>
    <row r="86" spans="2:21">
      <c r="B86" s="93">
        <f>$B$21</f>
        <v>0</v>
      </c>
      <c r="C86" s="134">
        <f t="shared" si="14"/>
        <v>0</v>
      </c>
      <c r="D86" s="135"/>
      <c r="E86" s="83">
        <f t="shared" si="15"/>
        <v>0</v>
      </c>
      <c r="F86" s="96">
        <f t="shared" si="16"/>
        <v>0</v>
      </c>
      <c r="G86" s="90">
        <f t="shared" si="17"/>
        <v>0</v>
      </c>
      <c r="H86" s="163" t="e">
        <f t="shared" si="18"/>
        <v>#DIV/0!</v>
      </c>
      <c r="I86" s="164"/>
      <c r="J86" s="165"/>
      <c r="K86" s="98" t="e">
        <f t="shared" si="19"/>
        <v>#DIV/0!</v>
      </c>
      <c r="L86" s="88">
        <f t="shared" si="20"/>
        <v>0</v>
      </c>
      <c r="M86" s="96">
        <f>IF(B86=0,0,(5*('Data '!$H$18)*'Inputs and Final Results'!$B$23^4)/(384*L86*$P$13))</f>
        <v>0</v>
      </c>
      <c r="N86" s="85" t="e">
        <f t="shared" si="21"/>
        <v>#DIV/0!</v>
      </c>
      <c r="O86" s="82">
        <f t="shared" si="22"/>
        <v>0</v>
      </c>
      <c r="P86" s="82">
        <f t="shared" si="23"/>
        <v>0</v>
      </c>
      <c r="Q86" s="175" t="e">
        <f t="shared" si="24"/>
        <v>#DIV/0!</v>
      </c>
      <c r="R86" s="175"/>
      <c r="S86" s="175"/>
      <c r="T86" s="175" t="e">
        <f t="shared" si="25"/>
        <v>#DIV/0!</v>
      </c>
      <c r="U86" s="176"/>
    </row>
    <row r="87" spans="2:21">
      <c r="B87" s="93">
        <f>B86+25</f>
        <v>25</v>
      </c>
      <c r="C87" s="134">
        <f t="shared" si="14"/>
        <v>0</v>
      </c>
      <c r="D87" s="135"/>
      <c r="E87" s="83">
        <f t="shared" si="15"/>
        <v>0</v>
      </c>
      <c r="F87" s="96" t="e">
        <f t="shared" si="16"/>
        <v>#DIV/0!</v>
      </c>
      <c r="G87" s="90" t="e">
        <f t="shared" si="17"/>
        <v>#DIV/0!</v>
      </c>
      <c r="H87" s="163" t="e">
        <f t="shared" si="18"/>
        <v>#DIV/0!</v>
      </c>
      <c r="I87" s="164"/>
      <c r="J87" s="165"/>
      <c r="K87" s="98" t="e">
        <f t="shared" si="19"/>
        <v>#DIV/0!</v>
      </c>
      <c r="L87" s="88">
        <f t="shared" si="20"/>
        <v>0</v>
      </c>
      <c r="M87" s="96" t="e">
        <f>IF(B87=0,0,(5*('Data '!$H$18)*'Inputs and Final Results'!$B$23^4)/(384*L87*$P$13))</f>
        <v>#DIV/0!</v>
      </c>
      <c r="N87" s="85" t="e">
        <f t="shared" si="21"/>
        <v>#DIV/0!</v>
      </c>
      <c r="O87" s="82">
        <f t="shared" si="22"/>
        <v>0</v>
      </c>
      <c r="P87" s="82">
        <f t="shared" si="23"/>
        <v>0</v>
      </c>
      <c r="Q87" s="175" t="e">
        <f t="shared" si="24"/>
        <v>#DIV/0!</v>
      </c>
      <c r="R87" s="175"/>
      <c r="S87" s="175"/>
      <c r="T87" s="175" t="e">
        <f t="shared" si="25"/>
        <v>#DIV/0!</v>
      </c>
      <c r="U87" s="176"/>
    </row>
    <row r="88" spans="2:21">
      <c r="B88" s="93">
        <f t="shared" ref="B88:B96" si="26">B87+25</f>
        <v>50</v>
      </c>
      <c r="C88" s="134">
        <f t="shared" si="14"/>
        <v>0</v>
      </c>
      <c r="D88" s="135"/>
      <c r="E88" s="83">
        <f t="shared" si="15"/>
        <v>0</v>
      </c>
      <c r="F88" s="96" t="e">
        <f t="shared" si="16"/>
        <v>#DIV/0!</v>
      </c>
      <c r="G88" s="90" t="e">
        <f t="shared" si="17"/>
        <v>#DIV/0!</v>
      </c>
      <c r="H88" s="163" t="e">
        <f t="shared" si="18"/>
        <v>#DIV/0!</v>
      </c>
      <c r="I88" s="164"/>
      <c r="J88" s="165"/>
      <c r="K88" s="98" t="e">
        <f t="shared" si="19"/>
        <v>#DIV/0!</v>
      </c>
      <c r="L88" s="88">
        <f t="shared" si="20"/>
        <v>0</v>
      </c>
      <c r="M88" s="96" t="e">
        <f>IF(B88=0,0,(5*('Data '!$H$18)*'Inputs and Final Results'!$B$23^4)/(384*L88*$P$13))</f>
        <v>#DIV/0!</v>
      </c>
      <c r="N88" s="85" t="e">
        <f t="shared" si="21"/>
        <v>#DIV/0!</v>
      </c>
      <c r="O88" s="82">
        <f t="shared" si="22"/>
        <v>0</v>
      </c>
      <c r="P88" s="82">
        <f t="shared" si="23"/>
        <v>0</v>
      </c>
      <c r="Q88" s="175" t="e">
        <f t="shared" si="24"/>
        <v>#DIV/0!</v>
      </c>
      <c r="R88" s="175"/>
      <c r="S88" s="175"/>
      <c r="T88" s="175" t="e">
        <f t="shared" si="25"/>
        <v>#DIV/0!</v>
      </c>
      <c r="U88" s="176"/>
    </row>
    <row r="89" spans="2:21">
      <c r="B89" s="93">
        <f t="shared" si="26"/>
        <v>75</v>
      </c>
      <c r="C89" s="134">
        <f t="shared" si="14"/>
        <v>0</v>
      </c>
      <c r="D89" s="135"/>
      <c r="E89" s="83">
        <f t="shared" si="15"/>
        <v>0</v>
      </c>
      <c r="F89" s="96" t="e">
        <f t="shared" si="16"/>
        <v>#DIV/0!</v>
      </c>
      <c r="G89" s="90" t="e">
        <f t="shared" si="17"/>
        <v>#DIV/0!</v>
      </c>
      <c r="H89" s="163" t="e">
        <f t="shared" si="18"/>
        <v>#DIV/0!</v>
      </c>
      <c r="I89" s="164"/>
      <c r="J89" s="165"/>
      <c r="K89" s="98" t="e">
        <f t="shared" si="19"/>
        <v>#DIV/0!</v>
      </c>
      <c r="L89" s="88">
        <f t="shared" si="20"/>
        <v>0</v>
      </c>
      <c r="M89" s="96" t="e">
        <f>IF(B89=0,0,(5*('Data '!$H$18)*'Inputs and Final Results'!$B$23^4)/(384*L89*$P$13))</f>
        <v>#DIV/0!</v>
      </c>
      <c r="N89" s="85" t="e">
        <f t="shared" si="21"/>
        <v>#DIV/0!</v>
      </c>
      <c r="O89" s="82">
        <f t="shared" si="22"/>
        <v>0</v>
      </c>
      <c r="P89" s="82">
        <f t="shared" si="23"/>
        <v>0</v>
      </c>
      <c r="Q89" s="175" t="e">
        <f t="shared" si="24"/>
        <v>#DIV/0!</v>
      </c>
      <c r="R89" s="175"/>
      <c r="S89" s="175"/>
      <c r="T89" s="175" t="e">
        <f t="shared" si="25"/>
        <v>#DIV/0!</v>
      </c>
      <c r="U89" s="176"/>
    </row>
    <row r="90" spans="2:21">
      <c r="B90" s="93">
        <f t="shared" si="26"/>
        <v>100</v>
      </c>
      <c r="C90" s="134">
        <f t="shared" si="14"/>
        <v>0</v>
      </c>
      <c r="D90" s="135"/>
      <c r="E90" s="83">
        <f t="shared" si="15"/>
        <v>0</v>
      </c>
      <c r="F90" s="96" t="e">
        <f t="shared" si="16"/>
        <v>#DIV/0!</v>
      </c>
      <c r="G90" s="90" t="e">
        <f t="shared" si="17"/>
        <v>#DIV/0!</v>
      </c>
      <c r="H90" s="163" t="e">
        <f t="shared" si="18"/>
        <v>#DIV/0!</v>
      </c>
      <c r="I90" s="164"/>
      <c r="J90" s="165"/>
      <c r="K90" s="98" t="e">
        <f t="shared" si="19"/>
        <v>#DIV/0!</v>
      </c>
      <c r="L90" s="88">
        <f t="shared" si="20"/>
        <v>0</v>
      </c>
      <c r="M90" s="96" t="e">
        <f>IF(B90=0,0,(5*('Data '!$H$18)*'Inputs and Final Results'!$B$23^4)/(384*L90*$P$13))</f>
        <v>#DIV/0!</v>
      </c>
      <c r="N90" s="85" t="e">
        <f t="shared" si="21"/>
        <v>#DIV/0!</v>
      </c>
      <c r="O90" s="82">
        <f t="shared" si="22"/>
        <v>0</v>
      </c>
      <c r="P90" s="82">
        <f t="shared" si="23"/>
        <v>0</v>
      </c>
      <c r="Q90" s="175" t="e">
        <f t="shared" si="24"/>
        <v>#DIV/0!</v>
      </c>
      <c r="R90" s="175"/>
      <c r="S90" s="175"/>
      <c r="T90" s="175" t="e">
        <f t="shared" si="25"/>
        <v>#DIV/0!</v>
      </c>
      <c r="U90" s="176"/>
    </row>
    <row r="91" spans="2:21">
      <c r="B91" s="93">
        <f t="shared" si="26"/>
        <v>125</v>
      </c>
      <c r="C91" s="134">
        <f t="shared" si="14"/>
        <v>0</v>
      </c>
      <c r="D91" s="135"/>
      <c r="E91" s="83">
        <f t="shared" si="15"/>
        <v>0</v>
      </c>
      <c r="F91" s="96" t="e">
        <f t="shared" si="16"/>
        <v>#DIV/0!</v>
      </c>
      <c r="G91" s="90" t="e">
        <f t="shared" si="17"/>
        <v>#DIV/0!</v>
      </c>
      <c r="H91" s="163" t="e">
        <f t="shared" si="18"/>
        <v>#DIV/0!</v>
      </c>
      <c r="I91" s="164"/>
      <c r="J91" s="165"/>
      <c r="K91" s="98" t="e">
        <f t="shared" si="19"/>
        <v>#DIV/0!</v>
      </c>
      <c r="L91" s="88">
        <f t="shared" si="20"/>
        <v>0</v>
      </c>
      <c r="M91" s="96" t="e">
        <f>IF(B91=0,0,(5*('Data '!$H$18)*'Inputs and Final Results'!$B$23^4)/(384*L91*$P$13))</f>
        <v>#DIV/0!</v>
      </c>
      <c r="N91" s="85" t="e">
        <f t="shared" si="21"/>
        <v>#DIV/0!</v>
      </c>
      <c r="O91" s="82">
        <f t="shared" si="22"/>
        <v>0</v>
      </c>
      <c r="P91" s="82">
        <f t="shared" si="23"/>
        <v>0</v>
      </c>
      <c r="Q91" s="175" t="e">
        <f t="shared" si="24"/>
        <v>#DIV/0!</v>
      </c>
      <c r="R91" s="175"/>
      <c r="S91" s="175"/>
      <c r="T91" s="175" t="e">
        <f t="shared" si="25"/>
        <v>#DIV/0!</v>
      </c>
      <c r="U91" s="176"/>
    </row>
    <row r="92" spans="2:21">
      <c r="B92" s="93">
        <f t="shared" si="26"/>
        <v>150</v>
      </c>
      <c r="C92" s="134">
        <f t="shared" si="14"/>
        <v>0</v>
      </c>
      <c r="D92" s="135"/>
      <c r="E92" s="83">
        <f t="shared" si="15"/>
        <v>0</v>
      </c>
      <c r="F92" s="96" t="e">
        <f t="shared" si="16"/>
        <v>#DIV/0!</v>
      </c>
      <c r="G92" s="90" t="e">
        <f t="shared" si="17"/>
        <v>#DIV/0!</v>
      </c>
      <c r="H92" s="163" t="e">
        <f t="shared" si="18"/>
        <v>#DIV/0!</v>
      </c>
      <c r="I92" s="164"/>
      <c r="J92" s="165"/>
      <c r="K92" s="98" t="e">
        <f t="shared" si="19"/>
        <v>#DIV/0!</v>
      </c>
      <c r="L92" s="88">
        <f t="shared" si="20"/>
        <v>0</v>
      </c>
      <c r="M92" s="96" t="e">
        <f>IF(B92=0,0,(5*('Data '!$H$18)*'Inputs and Final Results'!$B$23^4)/(384*L92*$P$13))</f>
        <v>#DIV/0!</v>
      </c>
      <c r="N92" s="85" t="e">
        <f t="shared" si="21"/>
        <v>#DIV/0!</v>
      </c>
      <c r="O92" s="82">
        <f t="shared" si="22"/>
        <v>0</v>
      </c>
      <c r="P92" s="82">
        <f t="shared" si="23"/>
        <v>0</v>
      </c>
      <c r="Q92" s="175" t="e">
        <f t="shared" si="24"/>
        <v>#DIV/0!</v>
      </c>
      <c r="R92" s="175"/>
      <c r="S92" s="175"/>
      <c r="T92" s="175" t="e">
        <f t="shared" si="25"/>
        <v>#DIV/0!</v>
      </c>
      <c r="U92" s="176"/>
    </row>
    <row r="93" spans="2:21">
      <c r="B93" s="93">
        <f t="shared" si="26"/>
        <v>175</v>
      </c>
      <c r="C93" s="134">
        <f t="shared" si="14"/>
        <v>0</v>
      </c>
      <c r="D93" s="135"/>
      <c r="E93" s="83">
        <f t="shared" si="15"/>
        <v>0</v>
      </c>
      <c r="F93" s="96" t="e">
        <f t="shared" si="16"/>
        <v>#DIV/0!</v>
      </c>
      <c r="G93" s="90" t="e">
        <f t="shared" si="17"/>
        <v>#DIV/0!</v>
      </c>
      <c r="H93" s="163" t="e">
        <f t="shared" si="18"/>
        <v>#DIV/0!</v>
      </c>
      <c r="I93" s="164"/>
      <c r="J93" s="165"/>
      <c r="K93" s="98" t="e">
        <f t="shared" si="19"/>
        <v>#DIV/0!</v>
      </c>
      <c r="L93" s="88">
        <f t="shared" si="20"/>
        <v>0</v>
      </c>
      <c r="M93" s="96" t="e">
        <f>IF(B93=0,0,(5*('Data '!$H$18)*'Inputs and Final Results'!$B$23^4)/(384*L93*$P$13))</f>
        <v>#DIV/0!</v>
      </c>
      <c r="N93" s="85" t="e">
        <f t="shared" si="21"/>
        <v>#DIV/0!</v>
      </c>
      <c r="O93" s="82">
        <f t="shared" si="22"/>
        <v>0</v>
      </c>
      <c r="P93" s="82">
        <f t="shared" si="23"/>
        <v>0</v>
      </c>
      <c r="Q93" s="175" t="e">
        <f t="shared" si="24"/>
        <v>#DIV/0!</v>
      </c>
      <c r="R93" s="175"/>
      <c r="S93" s="175"/>
      <c r="T93" s="175" t="e">
        <f t="shared" si="25"/>
        <v>#DIV/0!</v>
      </c>
      <c r="U93" s="176"/>
    </row>
    <row r="94" spans="2:21">
      <c r="B94" s="93">
        <f t="shared" si="26"/>
        <v>200</v>
      </c>
      <c r="C94" s="134">
        <f t="shared" si="14"/>
        <v>0</v>
      </c>
      <c r="D94" s="135"/>
      <c r="E94" s="83">
        <f t="shared" si="15"/>
        <v>0</v>
      </c>
      <c r="F94" s="96" t="e">
        <f t="shared" si="16"/>
        <v>#DIV/0!</v>
      </c>
      <c r="G94" s="90" t="e">
        <f t="shared" si="17"/>
        <v>#DIV/0!</v>
      </c>
      <c r="H94" s="163" t="e">
        <f t="shared" si="18"/>
        <v>#DIV/0!</v>
      </c>
      <c r="I94" s="164"/>
      <c r="J94" s="165"/>
      <c r="K94" s="98" t="e">
        <f t="shared" si="19"/>
        <v>#DIV/0!</v>
      </c>
      <c r="L94" s="88">
        <f t="shared" si="20"/>
        <v>0</v>
      </c>
      <c r="M94" s="96" t="e">
        <f>IF(B94=0,0,(5*('Data '!$H$18)*'Inputs and Final Results'!$B$23^4)/(384*L94*$P$13))</f>
        <v>#DIV/0!</v>
      </c>
      <c r="N94" s="85" t="e">
        <f t="shared" si="21"/>
        <v>#DIV/0!</v>
      </c>
      <c r="O94" s="82">
        <f t="shared" si="22"/>
        <v>0</v>
      </c>
      <c r="P94" s="82">
        <f t="shared" si="23"/>
        <v>0</v>
      </c>
      <c r="Q94" s="175" t="e">
        <f t="shared" si="24"/>
        <v>#DIV/0!</v>
      </c>
      <c r="R94" s="175"/>
      <c r="S94" s="175"/>
      <c r="T94" s="175" t="e">
        <f t="shared" si="25"/>
        <v>#DIV/0!</v>
      </c>
      <c r="U94" s="176"/>
    </row>
    <row r="95" spans="2:21">
      <c r="B95" s="93">
        <f t="shared" si="26"/>
        <v>225</v>
      </c>
      <c r="C95" s="134">
        <f t="shared" si="14"/>
        <v>0</v>
      </c>
      <c r="D95" s="135"/>
      <c r="E95" s="83">
        <f t="shared" si="15"/>
        <v>0</v>
      </c>
      <c r="F95" s="96" t="e">
        <f t="shared" si="16"/>
        <v>#DIV/0!</v>
      </c>
      <c r="G95" s="90" t="e">
        <f t="shared" si="17"/>
        <v>#DIV/0!</v>
      </c>
      <c r="H95" s="163" t="e">
        <f t="shared" si="18"/>
        <v>#DIV/0!</v>
      </c>
      <c r="I95" s="164"/>
      <c r="J95" s="165"/>
      <c r="K95" s="98" t="e">
        <f t="shared" si="19"/>
        <v>#DIV/0!</v>
      </c>
      <c r="L95" s="88">
        <f t="shared" si="20"/>
        <v>0</v>
      </c>
      <c r="M95" s="96" t="e">
        <f>IF(B95=0,0,(5*('Data '!$H$18)*'Inputs and Final Results'!$B$23^4)/(384*L95*$P$13))</f>
        <v>#DIV/0!</v>
      </c>
      <c r="N95" s="85" t="e">
        <f t="shared" si="21"/>
        <v>#DIV/0!</v>
      </c>
      <c r="O95" s="82">
        <f t="shared" si="22"/>
        <v>0</v>
      </c>
      <c r="P95" s="82">
        <f t="shared" si="23"/>
        <v>0</v>
      </c>
      <c r="Q95" s="175" t="e">
        <f t="shared" si="24"/>
        <v>#DIV/0!</v>
      </c>
      <c r="R95" s="175"/>
      <c r="S95" s="175"/>
      <c r="T95" s="175" t="e">
        <f t="shared" si="25"/>
        <v>#DIV/0!</v>
      </c>
      <c r="U95" s="176"/>
    </row>
    <row r="96" spans="2:21" ht="15.75" thickBot="1">
      <c r="B96" s="94">
        <f t="shared" si="26"/>
        <v>250</v>
      </c>
      <c r="C96" s="155">
        <f t="shared" si="14"/>
        <v>0</v>
      </c>
      <c r="D96" s="156"/>
      <c r="E96" s="92">
        <f t="shared" si="15"/>
        <v>0</v>
      </c>
      <c r="F96" s="97" t="e">
        <f t="shared" si="16"/>
        <v>#DIV/0!</v>
      </c>
      <c r="G96" s="91" t="e">
        <f t="shared" si="17"/>
        <v>#DIV/0!</v>
      </c>
      <c r="H96" s="157" t="e">
        <f t="shared" si="18"/>
        <v>#DIV/0!</v>
      </c>
      <c r="I96" s="158"/>
      <c r="J96" s="159"/>
      <c r="K96" s="99" t="e">
        <f t="shared" si="19"/>
        <v>#DIV/0!</v>
      </c>
      <c r="L96" s="89">
        <f t="shared" si="20"/>
        <v>0</v>
      </c>
      <c r="M96" s="97" t="e">
        <f>IF(B96=0,0,(5*('Data '!$H$18)*'Inputs and Final Results'!$B$23^4)/(384*L96*$P$13))</f>
        <v>#DIV/0!</v>
      </c>
      <c r="N96" s="86" t="e">
        <f t="shared" si="21"/>
        <v>#DIV/0!</v>
      </c>
      <c r="O96" s="87">
        <f t="shared" si="22"/>
        <v>0</v>
      </c>
      <c r="P96" s="87">
        <f t="shared" si="23"/>
        <v>0</v>
      </c>
      <c r="Q96" s="177" t="e">
        <f t="shared" si="24"/>
        <v>#DIV/0!</v>
      </c>
      <c r="R96" s="177"/>
      <c r="S96" s="177"/>
      <c r="T96" s="177" t="e">
        <f t="shared" si="25"/>
        <v>#DIV/0!</v>
      </c>
      <c r="U96" s="178"/>
    </row>
  </sheetData>
  <mergeCells count="231">
    <mergeCell ref="B46:M47"/>
    <mergeCell ref="A3:Z3"/>
    <mergeCell ref="T87:U87"/>
    <mergeCell ref="T88:U88"/>
    <mergeCell ref="T89:U89"/>
    <mergeCell ref="T90:U90"/>
    <mergeCell ref="R50:T50"/>
    <mergeCell ref="R51:T51"/>
    <mergeCell ref="R52:T52"/>
    <mergeCell ref="R53:T53"/>
    <mergeCell ref="R54:T54"/>
    <mergeCell ref="P51:Q51"/>
    <mergeCell ref="P52:Q52"/>
    <mergeCell ref="P53:Q53"/>
    <mergeCell ref="P54:Q54"/>
    <mergeCell ref="P49:Q49"/>
    <mergeCell ref="O48:T48"/>
    <mergeCell ref="P50:Q50"/>
    <mergeCell ref="R70:T70"/>
    <mergeCell ref="R65:T65"/>
    <mergeCell ref="R66:T66"/>
    <mergeCell ref="A9:G9"/>
    <mergeCell ref="Q84:S84"/>
    <mergeCell ref="T80:U80"/>
    <mergeCell ref="Q78:S78"/>
    <mergeCell ref="Q79:S79"/>
    <mergeCell ref="T78:U78"/>
    <mergeCell ref="T79:U79"/>
    <mergeCell ref="B74:B75"/>
    <mergeCell ref="B48:B49"/>
    <mergeCell ref="B72:M73"/>
    <mergeCell ref="Q76:S76"/>
    <mergeCell ref="Q77:S77"/>
    <mergeCell ref="T75:U75"/>
    <mergeCell ref="T76:U76"/>
    <mergeCell ref="T77:U77"/>
    <mergeCell ref="Q80:S80"/>
    <mergeCell ref="Q81:S81"/>
    <mergeCell ref="Q82:S82"/>
    <mergeCell ref="Q83:S83"/>
    <mergeCell ref="Q94:S94"/>
    <mergeCell ref="Q95:S95"/>
    <mergeCell ref="Q96:S96"/>
    <mergeCell ref="T94:U94"/>
    <mergeCell ref="T95:U95"/>
    <mergeCell ref="T96:U96"/>
    <mergeCell ref="R55:T55"/>
    <mergeCell ref="R56:T56"/>
    <mergeCell ref="R57:T57"/>
    <mergeCell ref="R58:T58"/>
    <mergeCell ref="R59:T59"/>
    <mergeCell ref="P56:Q56"/>
    <mergeCell ref="P57:Q57"/>
    <mergeCell ref="P58:Q58"/>
    <mergeCell ref="P59:Q59"/>
    <mergeCell ref="P60:Q60"/>
    <mergeCell ref="P55:Q55"/>
    <mergeCell ref="R60:T60"/>
    <mergeCell ref="R61:T61"/>
    <mergeCell ref="R62:T62"/>
    <mergeCell ref="R63:T63"/>
    <mergeCell ref="R64:T64"/>
    <mergeCell ref="Q90:S90"/>
    <mergeCell ref="Q91:S91"/>
    <mergeCell ref="P70:Q70"/>
    <mergeCell ref="P64:Q64"/>
    <mergeCell ref="P65:Q65"/>
    <mergeCell ref="P66:Q66"/>
    <mergeCell ref="P67:Q67"/>
    <mergeCell ref="P68:Q68"/>
    <mergeCell ref="Q92:S92"/>
    <mergeCell ref="Q93:S93"/>
    <mergeCell ref="T92:U92"/>
    <mergeCell ref="T93:U93"/>
    <mergeCell ref="Q85:S85"/>
    <mergeCell ref="Q86:S86"/>
    <mergeCell ref="Q87:S87"/>
    <mergeCell ref="Q88:S88"/>
    <mergeCell ref="Q89:S89"/>
    <mergeCell ref="T86:U86"/>
    <mergeCell ref="T91:U91"/>
    <mergeCell ref="T81:U81"/>
    <mergeCell ref="T82:U82"/>
    <mergeCell ref="T83:U83"/>
    <mergeCell ref="T84:U84"/>
    <mergeCell ref="T85:U85"/>
    <mergeCell ref="N74:U74"/>
    <mergeCell ref="Q75:S75"/>
    <mergeCell ref="P61:Q61"/>
    <mergeCell ref="P62:Q62"/>
    <mergeCell ref="P63:Q63"/>
    <mergeCell ref="R49:T49"/>
    <mergeCell ref="H94:J94"/>
    <mergeCell ref="H95:J95"/>
    <mergeCell ref="G48:L48"/>
    <mergeCell ref="M48:N48"/>
    <mergeCell ref="L74:M74"/>
    <mergeCell ref="H89:J89"/>
    <mergeCell ref="H90:J90"/>
    <mergeCell ref="H91:J91"/>
    <mergeCell ref="H92:J92"/>
    <mergeCell ref="H93:J93"/>
    <mergeCell ref="H59:J59"/>
    <mergeCell ref="H60:J60"/>
    <mergeCell ref="H61:J61"/>
    <mergeCell ref="H62:J62"/>
    <mergeCell ref="H63:J63"/>
    <mergeCell ref="H64:J64"/>
    <mergeCell ref="R67:T67"/>
    <mergeCell ref="R68:T68"/>
    <mergeCell ref="R69:T69"/>
    <mergeCell ref="P69:Q69"/>
    <mergeCell ref="C96:D96"/>
    <mergeCell ref="H96:J96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C93:D93"/>
    <mergeCell ref="C94:D94"/>
    <mergeCell ref="C95:D95"/>
    <mergeCell ref="C90:D90"/>
    <mergeCell ref="C91:D91"/>
    <mergeCell ref="C92:D92"/>
    <mergeCell ref="C87:D87"/>
    <mergeCell ref="C88:D88"/>
    <mergeCell ref="C89:D89"/>
    <mergeCell ref="C84:D84"/>
    <mergeCell ref="C85:D85"/>
    <mergeCell ref="C86:D86"/>
    <mergeCell ref="C81:D81"/>
    <mergeCell ref="C82:D82"/>
    <mergeCell ref="C83:D83"/>
    <mergeCell ref="C78:D78"/>
    <mergeCell ref="C79:D79"/>
    <mergeCell ref="C80:D80"/>
    <mergeCell ref="C75:D75"/>
    <mergeCell ref="C76:D76"/>
    <mergeCell ref="C77:D77"/>
    <mergeCell ref="H70:J70"/>
    <mergeCell ref="H49:J49"/>
    <mergeCell ref="C74:F74"/>
    <mergeCell ref="G74:K74"/>
    <mergeCell ref="H65:J65"/>
    <mergeCell ref="H66:J66"/>
    <mergeCell ref="H67:J67"/>
    <mergeCell ref="H68:J68"/>
    <mergeCell ref="H69:J69"/>
    <mergeCell ref="H50:J50"/>
    <mergeCell ref="H51:J51"/>
    <mergeCell ref="H52:J52"/>
    <mergeCell ref="H53:J53"/>
    <mergeCell ref="C68:D68"/>
    <mergeCell ref="C69:D69"/>
    <mergeCell ref="C70:D70"/>
    <mergeCell ref="H54:J54"/>
    <mergeCell ref="H55:J55"/>
    <mergeCell ref="H56:J56"/>
    <mergeCell ref="H57:J57"/>
    <mergeCell ref="H58:J58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F48"/>
    <mergeCell ref="C49:D49"/>
    <mergeCell ref="C50:D50"/>
    <mergeCell ref="C51:D51"/>
    <mergeCell ref="C52:D52"/>
    <mergeCell ref="A40:G40"/>
    <mergeCell ref="K20:Q20"/>
    <mergeCell ref="K27:Q27"/>
    <mergeCell ref="B44:E44"/>
    <mergeCell ref="B30:D30"/>
    <mergeCell ref="B42:E42"/>
    <mergeCell ref="B43:E43"/>
    <mergeCell ref="A32:G32"/>
    <mergeCell ref="A33:C33"/>
    <mergeCell ref="E33:G33"/>
    <mergeCell ref="E38:G38"/>
    <mergeCell ref="E37:G37"/>
    <mergeCell ref="A11:G11"/>
    <mergeCell ref="B27:C27"/>
    <mergeCell ref="K35:Q35"/>
    <mergeCell ref="S18:X18"/>
    <mergeCell ref="S19:X19"/>
    <mergeCell ref="A4:Z4"/>
    <mergeCell ref="A5:Z5"/>
    <mergeCell ref="S17:X17"/>
    <mergeCell ref="S15:X15"/>
    <mergeCell ref="S14:X14"/>
    <mergeCell ref="K11:Y11"/>
    <mergeCell ref="B29:F29"/>
    <mergeCell ref="S16:X16"/>
    <mergeCell ref="B21:C21"/>
    <mergeCell ref="B22:C22"/>
    <mergeCell ref="B25:C25"/>
    <mergeCell ref="B26:C26"/>
    <mergeCell ref="B28:C28"/>
    <mergeCell ref="B23:C23"/>
    <mergeCell ref="D33:D38"/>
    <mergeCell ref="S34:Y35"/>
    <mergeCell ref="A1:Z1"/>
    <mergeCell ref="A2:Z2"/>
    <mergeCell ref="S20:Y20"/>
    <mergeCell ref="S27:Y27"/>
    <mergeCell ref="A7:G7"/>
    <mergeCell ref="A8:G8"/>
    <mergeCell ref="B24:C24"/>
    <mergeCell ref="E36:G36"/>
  </mergeCells>
  <dataValidations xWindow="338" yWindow="580" count="13">
    <dataValidation type="custom" allowBlank="1" showInputMessage="1" showErrorMessage="1" error="You have input both factored and unfactored loads, you may only enter one at a time" sqref="F34">
      <formula1>NOT(AND(F34&gt;0,((OR(B34&gt;0,B35&gt;0,B36&gt;0,B37&gt;0,B38&gt;0)))))</formula1>
    </dataValidation>
    <dataValidation allowBlank="1" showInputMessage="1" showErrorMessage="1" error="You have input both factored and unfactored loads, you may only enter one at a time" sqref="F35"/>
    <dataValidation type="custom" allowBlank="1" showInputMessage="1" showErrorMessage="1" error="You have input both factored and unfactored loads, you may only enter one at a time" sqref="B35">
      <formula1>NOT(AND(SUM(B34:B38)&gt;0,F34&gt;0))</formula1>
    </dataValidation>
    <dataValidation type="custom" allowBlank="1" showInputMessage="1" showErrorMessage="1" error="You have input both factored and unfactored loads, you may only enter one at a time" sqref="B34">
      <formula1>NOT(AND(SUM(B34:B38)&gt;0,F34&gt;0))</formula1>
    </dataValidation>
    <dataValidation type="custom" allowBlank="1" showInputMessage="1" showErrorMessage="1" error="You have input both factored and unfactored loads, you may only enter one at a time" sqref="B38">
      <formula1>NOT(AND(SUM(B34:B38)&gt;0,F34&gt;0))</formula1>
    </dataValidation>
    <dataValidation type="custom" allowBlank="1" showInputMessage="1" showErrorMessage="1" error="You have input both factored and unfactored loads, you may only enter one at a time" sqref="B36">
      <formula1>NOT(AND(SUM(B34:B38)&gt;0,F34&gt;0))</formula1>
    </dataValidation>
    <dataValidation type="custom" allowBlank="1" showInputMessage="1" showErrorMessage="1" error="The depth of this notch is too large_x000a_Notch depth may not exceed 0.25 d" sqref="B26:C26">
      <formula1>OR(B26&lt;0.25*B22,B26=0.25*B22)</formula1>
    </dataValidation>
    <dataValidation type="custom" allowBlank="1" showInputMessage="1" showErrorMessage="1" error="The depth of this notch is too large_x000a_Notch depth may not exceed 0.25 d" sqref="B27:C27">
      <formula1>OR(B27&lt;0.25*B22,B27=0.25*B22)</formula1>
    </dataValidation>
    <dataValidation type="list" allowBlank="1" showInputMessage="1" showErrorMessage="1" sqref="B30">
      <formula1>'Glue Lam Str. Table'!B27:B32</formula1>
    </dataValidation>
    <dataValidation type="list" allowBlank="1" showInputMessage="1" showErrorMessage="1" prompt="Ensure you reselect the Grade of Glulam after selecting species" sqref="B29">
      <formula1>'Glue Lam Str. Table'!A27:A29</formula1>
    </dataValidation>
    <dataValidation type="list" allowBlank="1" showInputMessage="1" showErrorMessage="1" sqref="B43">
      <formula1>'Data '!B22:B23</formula1>
    </dataValidation>
    <dataValidation type="list" allowBlank="1" showInputMessage="1" showErrorMessage="1" sqref="B44">
      <formula1>'Data '!B26:B27</formula1>
    </dataValidation>
    <dataValidation type="custom" allowBlank="1" showInputMessage="1" showErrorMessage="1" error="You have input both factored and unfactored loads, you may only enter one at a time" sqref="B37">
      <formula1>NOT(AND(SUM(B34:B38)&gt;0,F34&gt;0))</formula1>
    </dataValidation>
  </dataValidations>
  <pageMargins left="0.7" right="0.7" top="0.75" bottom="0.75" header="0.3" footer="0.3"/>
  <pageSetup scale="6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37"/>
  <sheetViews>
    <sheetView workbookViewId="0">
      <selection activeCell="B37" sqref="B37"/>
    </sheetView>
  </sheetViews>
  <sheetFormatPr defaultRowHeight="15"/>
  <cols>
    <col min="1" max="1" width="2" bestFit="1" customWidth="1"/>
    <col min="2" max="2" width="25.85546875" bestFit="1" customWidth="1"/>
    <col min="3" max="6" width="6.7109375" customWidth="1"/>
    <col min="7" max="7" width="9" bestFit="1" customWidth="1"/>
    <col min="8" max="9" width="6.7109375" customWidth="1"/>
    <col min="10" max="10" width="9.28515625" bestFit="1" customWidth="1"/>
    <col min="11" max="11" width="6.42578125" customWidth="1"/>
    <col min="12" max="12" width="2" customWidth="1"/>
    <col min="18" max="18" width="11.140625" bestFit="1" customWidth="1"/>
  </cols>
  <sheetData>
    <row r="1" spans="1:22" ht="21">
      <c r="A1" s="201" t="s">
        <v>23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  <c r="M1" s="69"/>
      <c r="N1" s="69"/>
      <c r="O1" s="69"/>
      <c r="P1" s="69"/>
      <c r="Q1" s="69"/>
      <c r="R1" s="69"/>
      <c r="S1" s="69"/>
      <c r="T1" s="69"/>
      <c r="U1" s="69"/>
      <c r="V1" s="70"/>
    </row>
    <row r="2" spans="1:22">
      <c r="A2" s="10"/>
      <c r="B2" s="4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30</v>
      </c>
      <c r="K2" s="11"/>
    </row>
    <row r="3" spans="1:22">
      <c r="A3" s="12">
        <v>1</v>
      </c>
      <c r="B3" s="42" t="s">
        <v>0</v>
      </c>
      <c r="C3" s="7">
        <f>1.4*'Inputs and Final Results'!$B$34</f>
        <v>0</v>
      </c>
      <c r="D3" s="7">
        <v>0</v>
      </c>
      <c r="E3" s="7">
        <v>0</v>
      </c>
      <c r="F3" s="7">
        <v>0</v>
      </c>
      <c r="G3" s="7">
        <v>0</v>
      </c>
      <c r="H3" s="7">
        <f>ROUND(SUM(C3:G3),1)</f>
        <v>0</v>
      </c>
      <c r="I3" s="8">
        <v>0.65</v>
      </c>
      <c r="J3" s="7">
        <f>ROUND(H3/I3,1)</f>
        <v>0</v>
      </c>
      <c r="K3" s="13">
        <f>IF(J3=(MAX($J$3:$J$17)),H3,"")</f>
        <v>0</v>
      </c>
    </row>
    <row r="4" spans="1:22">
      <c r="A4" s="14">
        <v>2</v>
      </c>
      <c r="B4" s="42" t="s">
        <v>2</v>
      </c>
      <c r="C4" s="7">
        <f>1.25*'Inputs and Final Results'!$B$34</f>
        <v>0</v>
      </c>
      <c r="D4" s="7">
        <f>1.5*'Inputs and Final Results'!$B$35</f>
        <v>0</v>
      </c>
      <c r="E4" s="7">
        <f>0.5*'Inputs and Final Results'!$B$36</f>
        <v>0</v>
      </c>
      <c r="F4" s="7">
        <v>0</v>
      </c>
      <c r="G4" s="7">
        <v>0</v>
      </c>
      <c r="H4" s="7">
        <f t="shared" ref="H4:H17" si="0">ROUND(SUM(C4:G4),1)</f>
        <v>0</v>
      </c>
      <c r="I4" s="8">
        <v>1</v>
      </c>
      <c r="J4" s="7">
        <f t="shared" ref="J4:J17" si="1">ROUND(H4/I4,1)</f>
        <v>0</v>
      </c>
      <c r="K4" s="13">
        <f t="shared" ref="K4:K17" si="2">IF(J4=(MAX($J$3:$J$17)),H4,"")</f>
        <v>0</v>
      </c>
    </row>
    <row r="5" spans="1:22">
      <c r="A5" s="15"/>
      <c r="B5" s="42" t="s">
        <v>1</v>
      </c>
      <c r="C5" s="7">
        <f>0.9*'Inputs and Final Results'!$B$34</f>
        <v>0</v>
      </c>
      <c r="D5" s="7">
        <f>1.5*'Inputs and Final Results'!$B$35</f>
        <v>0</v>
      </c>
      <c r="E5" s="7">
        <f>0.5*'Inputs and Final Results'!$B$36</f>
        <v>0</v>
      </c>
      <c r="F5" s="7">
        <v>0</v>
      </c>
      <c r="G5" s="7">
        <v>0</v>
      </c>
      <c r="H5" s="7">
        <f t="shared" si="0"/>
        <v>0</v>
      </c>
      <c r="I5" s="8">
        <v>1</v>
      </c>
      <c r="J5" s="7">
        <f t="shared" si="1"/>
        <v>0</v>
      </c>
      <c r="K5" s="13">
        <f t="shared" si="2"/>
        <v>0</v>
      </c>
    </row>
    <row r="6" spans="1:22">
      <c r="A6" s="15"/>
      <c r="B6" s="42" t="s">
        <v>5</v>
      </c>
      <c r="C6" s="7">
        <f>1.25*'Inputs and Final Results'!$B$34</f>
        <v>0</v>
      </c>
      <c r="D6" s="7">
        <f>1.5*'Inputs and Final Results'!$B$35</f>
        <v>0</v>
      </c>
      <c r="E6" s="7">
        <v>0</v>
      </c>
      <c r="F6" s="7">
        <f>0.4*'Inputs and Final Results'!$B$37</f>
        <v>0</v>
      </c>
      <c r="G6" s="7">
        <v>0</v>
      </c>
      <c r="H6" s="7">
        <f t="shared" si="0"/>
        <v>0</v>
      </c>
      <c r="I6" s="6">
        <v>1.1499999999999999</v>
      </c>
      <c r="J6" s="7">
        <f t="shared" si="1"/>
        <v>0</v>
      </c>
      <c r="K6" s="13">
        <f t="shared" si="2"/>
        <v>0</v>
      </c>
    </row>
    <row r="7" spans="1:22">
      <c r="A7" s="16"/>
      <c r="B7" s="42" t="s">
        <v>6</v>
      </c>
      <c r="C7" s="7">
        <f>0.9*'Inputs and Final Results'!$B$34</f>
        <v>0</v>
      </c>
      <c r="D7" s="7">
        <f>1.5*'Inputs and Final Results'!$B$35</f>
        <v>0</v>
      </c>
      <c r="E7" s="7">
        <v>0</v>
      </c>
      <c r="F7" s="7">
        <f>0.4*'Inputs and Final Results'!$B$37</f>
        <v>0</v>
      </c>
      <c r="G7" s="7">
        <v>0</v>
      </c>
      <c r="H7" s="7">
        <f t="shared" si="0"/>
        <v>0</v>
      </c>
      <c r="I7" s="6">
        <v>1.1499999999999999</v>
      </c>
      <c r="J7" s="7">
        <f t="shared" si="1"/>
        <v>0</v>
      </c>
      <c r="K7" s="13">
        <f t="shared" si="2"/>
        <v>0</v>
      </c>
    </row>
    <row r="8" spans="1:22">
      <c r="A8" s="14">
        <v>3</v>
      </c>
      <c r="B8" s="42" t="s">
        <v>3</v>
      </c>
      <c r="C8" s="7">
        <f>1.25*'Inputs and Final Results'!$B$34</f>
        <v>0</v>
      </c>
      <c r="D8" s="7">
        <f>0.5*'Inputs and Final Results'!$B$35</f>
        <v>0</v>
      </c>
      <c r="E8" s="7">
        <f>1.5*'Inputs and Final Results'!$B$36</f>
        <v>0</v>
      </c>
      <c r="F8" s="7">
        <v>0</v>
      </c>
      <c r="G8" s="7">
        <v>0</v>
      </c>
      <c r="H8" s="7">
        <f t="shared" si="0"/>
        <v>0</v>
      </c>
      <c r="I8" s="8">
        <v>1</v>
      </c>
      <c r="J8" s="7">
        <f t="shared" si="1"/>
        <v>0</v>
      </c>
      <c r="K8" s="13">
        <f t="shared" si="2"/>
        <v>0</v>
      </c>
    </row>
    <row r="9" spans="1:22">
      <c r="A9" s="15"/>
      <c r="B9" s="42" t="s">
        <v>4</v>
      </c>
      <c r="C9" s="7">
        <f>0.9*'Inputs and Final Results'!$B$34</f>
        <v>0</v>
      </c>
      <c r="D9" s="7">
        <f>0.5*'Inputs and Final Results'!$B$35</f>
        <v>0</v>
      </c>
      <c r="E9" s="7">
        <f>1.5*'Inputs and Final Results'!$B$36</f>
        <v>0</v>
      </c>
      <c r="F9" s="7">
        <v>0</v>
      </c>
      <c r="G9" s="7">
        <v>0</v>
      </c>
      <c r="H9" s="7">
        <f t="shared" si="0"/>
        <v>0</v>
      </c>
      <c r="I9" s="8">
        <v>1</v>
      </c>
      <c r="J9" s="7">
        <f t="shared" si="1"/>
        <v>0</v>
      </c>
      <c r="K9" s="13">
        <f t="shared" si="2"/>
        <v>0</v>
      </c>
    </row>
    <row r="10" spans="1:22">
      <c r="A10" s="15"/>
      <c r="B10" s="42" t="s">
        <v>7</v>
      </c>
      <c r="C10" s="7">
        <f>1.25*'Inputs and Final Results'!$B$34</f>
        <v>0</v>
      </c>
      <c r="D10" s="7">
        <v>0</v>
      </c>
      <c r="E10" s="7">
        <f>1.5*'Inputs and Final Results'!$B$36</f>
        <v>0</v>
      </c>
      <c r="F10" s="7">
        <f>0.4*'Inputs and Final Results'!$B$37</f>
        <v>0</v>
      </c>
      <c r="G10" s="7">
        <v>0</v>
      </c>
      <c r="H10" s="7">
        <f t="shared" si="0"/>
        <v>0</v>
      </c>
      <c r="I10" s="6">
        <v>1.1499999999999999</v>
      </c>
      <c r="J10" s="7">
        <f t="shared" si="1"/>
        <v>0</v>
      </c>
      <c r="K10" s="13">
        <f t="shared" si="2"/>
        <v>0</v>
      </c>
    </row>
    <row r="11" spans="1:22">
      <c r="A11" s="16"/>
      <c r="B11" s="42" t="s">
        <v>8</v>
      </c>
      <c r="C11" s="7">
        <f>0.9*'Inputs and Final Results'!$B$34</f>
        <v>0</v>
      </c>
      <c r="D11" s="7">
        <v>0</v>
      </c>
      <c r="E11" s="7">
        <f>1.5*'Inputs and Final Results'!$B$36</f>
        <v>0</v>
      </c>
      <c r="F11" s="7">
        <f>0.4*'Inputs and Final Results'!$B$37</f>
        <v>0</v>
      </c>
      <c r="G11" s="7">
        <v>0</v>
      </c>
      <c r="H11" s="7">
        <f t="shared" si="0"/>
        <v>0</v>
      </c>
      <c r="I11" s="6">
        <v>1.1499999999999999</v>
      </c>
      <c r="J11" s="7">
        <f t="shared" si="1"/>
        <v>0</v>
      </c>
      <c r="K11" s="13">
        <f t="shared" si="2"/>
        <v>0</v>
      </c>
      <c r="M11" s="1"/>
      <c r="N11" s="1"/>
      <c r="O11" s="1"/>
      <c r="P11" s="1"/>
      <c r="Q11" s="1"/>
    </row>
    <row r="12" spans="1:22">
      <c r="A12" s="14">
        <v>4</v>
      </c>
      <c r="B12" s="42" t="s">
        <v>9</v>
      </c>
      <c r="C12" s="7">
        <f>1.25*'Inputs and Final Results'!$B$34</f>
        <v>0</v>
      </c>
      <c r="D12" s="7">
        <f>0.5*'Inputs and Final Results'!$B$35</f>
        <v>0</v>
      </c>
      <c r="E12" s="7">
        <v>0</v>
      </c>
      <c r="F12" s="7">
        <f>1.4*'Inputs and Final Results'!$B$37</f>
        <v>0</v>
      </c>
      <c r="G12" s="7">
        <v>0</v>
      </c>
      <c r="H12" s="7">
        <f t="shared" si="0"/>
        <v>0</v>
      </c>
      <c r="I12" s="6">
        <v>1.1499999999999999</v>
      </c>
      <c r="J12" s="7">
        <f t="shared" si="1"/>
        <v>0</v>
      </c>
      <c r="K12" s="13">
        <f t="shared" si="2"/>
        <v>0</v>
      </c>
    </row>
    <row r="13" spans="1:22">
      <c r="A13" s="15"/>
      <c r="B13" s="42" t="s">
        <v>10</v>
      </c>
      <c r="C13" s="7">
        <f>0.9*'Inputs and Final Results'!$B$34</f>
        <v>0</v>
      </c>
      <c r="D13" s="7">
        <f>0.5*'Inputs and Final Results'!$B$35</f>
        <v>0</v>
      </c>
      <c r="E13" s="7">
        <v>0</v>
      </c>
      <c r="F13" s="7">
        <f>1.4*'Inputs and Final Results'!$B$37</f>
        <v>0</v>
      </c>
      <c r="G13" s="7">
        <v>0</v>
      </c>
      <c r="H13" s="7">
        <f t="shared" si="0"/>
        <v>0</v>
      </c>
      <c r="I13" s="6">
        <v>1.1499999999999999</v>
      </c>
      <c r="J13" s="7">
        <f t="shared" si="1"/>
        <v>0</v>
      </c>
      <c r="K13" s="13">
        <f t="shared" si="2"/>
        <v>0</v>
      </c>
    </row>
    <row r="14" spans="1:22">
      <c r="A14" s="15"/>
      <c r="B14" s="42" t="s">
        <v>11</v>
      </c>
      <c r="C14" s="7">
        <f>1.25*'Inputs and Final Results'!$B$34</f>
        <v>0</v>
      </c>
      <c r="D14" s="7">
        <v>0</v>
      </c>
      <c r="E14" s="7">
        <f>0.5*'Inputs and Final Results'!$B$36</f>
        <v>0</v>
      </c>
      <c r="F14" s="7">
        <f>1.4*'Inputs and Final Results'!$B$37</f>
        <v>0</v>
      </c>
      <c r="G14" s="7">
        <v>0</v>
      </c>
      <c r="H14" s="7">
        <f t="shared" si="0"/>
        <v>0</v>
      </c>
      <c r="I14" s="6">
        <v>1.1499999999999999</v>
      </c>
      <c r="J14" s="7">
        <f t="shared" si="1"/>
        <v>0</v>
      </c>
      <c r="K14" s="13">
        <f t="shared" si="2"/>
        <v>0</v>
      </c>
    </row>
    <row r="15" spans="1:22">
      <c r="A15" s="16"/>
      <c r="B15" s="42" t="s">
        <v>12</v>
      </c>
      <c r="C15" s="7">
        <f>0.9*'Inputs and Final Results'!$B$34</f>
        <v>0</v>
      </c>
      <c r="D15" s="7">
        <v>0</v>
      </c>
      <c r="E15" s="7">
        <f>0.5*'Inputs and Final Results'!$B$36</f>
        <v>0</v>
      </c>
      <c r="F15" s="7">
        <f>1.4*'Inputs and Final Results'!$B$37</f>
        <v>0</v>
      </c>
      <c r="G15" s="7">
        <v>0</v>
      </c>
      <c r="H15" s="7">
        <f t="shared" si="0"/>
        <v>0</v>
      </c>
      <c r="I15" s="6">
        <v>1.1499999999999999</v>
      </c>
      <c r="J15" s="7">
        <f t="shared" si="1"/>
        <v>0</v>
      </c>
      <c r="K15" s="13">
        <f t="shared" si="2"/>
        <v>0</v>
      </c>
    </row>
    <row r="16" spans="1:22">
      <c r="A16" s="14">
        <v>5</v>
      </c>
      <c r="B16" s="42" t="s">
        <v>21</v>
      </c>
      <c r="C16" s="7">
        <f>'Inputs and Final Results'!$B$34</f>
        <v>0</v>
      </c>
      <c r="D16" s="7">
        <f>0.5*'Inputs and Final Results'!$B$35</f>
        <v>0</v>
      </c>
      <c r="E16" s="7">
        <v>0</v>
      </c>
      <c r="F16" s="7">
        <v>0</v>
      </c>
      <c r="G16" s="7">
        <f>'Inputs and Final Results'!$B$38</f>
        <v>0</v>
      </c>
      <c r="H16" s="7">
        <f t="shared" si="0"/>
        <v>0</v>
      </c>
      <c r="I16" s="6">
        <v>1.1499999999999999</v>
      </c>
      <c r="J16" s="7">
        <f t="shared" si="1"/>
        <v>0</v>
      </c>
      <c r="K16" s="13">
        <f t="shared" si="2"/>
        <v>0</v>
      </c>
    </row>
    <row r="17" spans="1:11" ht="15.75" thickBot="1">
      <c r="A17" s="17"/>
      <c r="B17" s="42" t="s">
        <v>22</v>
      </c>
      <c r="C17" s="7">
        <f>'Inputs and Final Results'!$B$34</f>
        <v>0</v>
      </c>
      <c r="D17" s="7">
        <v>0</v>
      </c>
      <c r="E17" s="23">
        <f>0.25*'Inputs and Final Results'!$B$36</f>
        <v>0</v>
      </c>
      <c r="F17" s="23">
        <v>0</v>
      </c>
      <c r="G17" s="23">
        <f>'Inputs and Final Results'!$B$38</f>
        <v>0</v>
      </c>
      <c r="H17" s="23">
        <f t="shared" si="0"/>
        <v>0</v>
      </c>
      <c r="I17" s="6">
        <v>1.1499999999999999</v>
      </c>
      <c r="J17" s="7">
        <f t="shared" si="1"/>
        <v>0</v>
      </c>
      <c r="K17" s="13">
        <f t="shared" si="2"/>
        <v>0</v>
      </c>
    </row>
    <row r="18" spans="1:11" ht="15.75" thickBot="1">
      <c r="A18" s="18"/>
      <c r="B18" s="19"/>
      <c r="C18" s="19"/>
      <c r="D18" s="19"/>
      <c r="E18" s="204" t="s">
        <v>31</v>
      </c>
      <c r="F18" s="205"/>
      <c r="G18" s="205"/>
      <c r="H18" s="5">
        <f>IF(MAX(H3:H17)=0,'Inputs and Final Results'!F34,MAX(K3:K17))</f>
        <v>0</v>
      </c>
      <c r="I18" s="20"/>
      <c r="J18" s="21"/>
      <c r="K18" s="22"/>
    </row>
    <row r="19" spans="1:11" ht="15.75" thickBot="1"/>
    <row r="20" spans="1:11" ht="21.75" thickBot="1">
      <c r="A20" s="201" t="s">
        <v>38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</row>
    <row r="21" spans="1:11">
      <c r="A21" s="10"/>
      <c r="B21" s="76" t="s">
        <v>41</v>
      </c>
      <c r="C21" s="77"/>
      <c r="D21" s="43" t="s">
        <v>45</v>
      </c>
      <c r="E21" s="44" t="s">
        <v>108</v>
      </c>
      <c r="F21" s="27"/>
      <c r="G21" s="208" t="s">
        <v>166</v>
      </c>
      <c r="H21" s="209"/>
      <c r="I21" s="210"/>
      <c r="J21" s="78"/>
      <c r="K21" s="79"/>
    </row>
    <row r="22" spans="1:11">
      <c r="A22" s="10"/>
      <c r="B22" s="27" t="s">
        <v>40</v>
      </c>
      <c r="C22" s="78"/>
      <c r="D22" s="45" t="s">
        <v>81</v>
      </c>
      <c r="E22" s="34" t="str">
        <f>IF('Inputs and Final Results'!$B$43="Dry",1,"0.80")</f>
        <v>0.80</v>
      </c>
      <c r="F22" s="27"/>
      <c r="G22" s="71">
        <v>12.5</v>
      </c>
      <c r="H22" s="8">
        <v>1.75</v>
      </c>
      <c r="I22" s="72">
        <f>IF(OR('Inputs and Final Results'!$B$24='Data '!G22,'Inputs and Final Results'!$B$24&lt;'Data '!G22),'Data '!H22,"")</f>
        <v>1.75</v>
      </c>
      <c r="J22" s="78"/>
      <c r="K22" s="11"/>
    </row>
    <row r="23" spans="1:11">
      <c r="A23" s="10"/>
      <c r="B23" s="27" t="s">
        <v>42</v>
      </c>
      <c r="C23" s="78"/>
      <c r="D23" s="45" t="s">
        <v>82</v>
      </c>
      <c r="E23" s="34" t="str">
        <f>IF('Inputs and Final Results'!$B$43="Dry",1,"0.87")</f>
        <v>0.87</v>
      </c>
      <c r="F23" s="27"/>
      <c r="G23" s="206" t="s">
        <v>133</v>
      </c>
      <c r="H23" s="207"/>
      <c r="I23" s="72" t="str">
        <f>IF(OR('Inputs and Final Results'!$B$24&gt;'Data '!G24,'Inputs and Final Results'!$B$24&lt;G22),"",(H24-(G24-'Inputs and Final Results'!$B$24)*('Data '!H24-'Data '!H22)/('Data '!G24-'Data '!G22)))</f>
        <v/>
      </c>
      <c r="J23" s="27"/>
      <c r="K23" s="11"/>
    </row>
    <row r="24" spans="1:11">
      <c r="A24" s="10"/>
      <c r="B24" s="27"/>
      <c r="C24" s="78"/>
      <c r="D24" s="45" t="s">
        <v>83</v>
      </c>
      <c r="E24" s="34" t="str">
        <f>IF('Inputs and Final Results'!$B$43="Dry",1,"0.75")</f>
        <v>0.75</v>
      </c>
      <c r="F24" s="27"/>
      <c r="G24" s="71">
        <v>25</v>
      </c>
      <c r="H24" s="8">
        <v>1.38</v>
      </c>
      <c r="I24" s="72" t="str">
        <f>IF('Inputs and Final Results'!$B$24='Data '!G24,'Data '!H24,"")</f>
        <v/>
      </c>
      <c r="J24" s="27"/>
      <c r="K24" s="11"/>
    </row>
    <row r="25" spans="1:11">
      <c r="A25" s="10"/>
      <c r="B25" s="77" t="s">
        <v>90</v>
      </c>
      <c r="C25" s="78"/>
      <c r="D25" s="45" t="s">
        <v>84</v>
      </c>
      <c r="E25" s="34" t="str">
        <f>IF('Inputs and Final Results'!$B$43="Dry",1,"0.67")</f>
        <v>0.67</v>
      </c>
      <c r="F25" s="27"/>
      <c r="G25" s="206" t="s">
        <v>133</v>
      </c>
      <c r="H25" s="207"/>
      <c r="I25" s="72" t="str">
        <f>IF(OR('Inputs and Final Results'!$B$24&gt;'Data '!G26,'Inputs and Final Results'!$B$24&lt;G24),"",(H26-(G26-'Inputs and Final Results'!$B$24)*('Data '!H26-'Data '!H24)/('Data '!G26-'Data '!G24)))</f>
        <v/>
      </c>
      <c r="J25" s="27"/>
      <c r="K25" s="11"/>
    </row>
    <row r="26" spans="1:11">
      <c r="A26" s="10"/>
      <c r="B26" s="78" t="s">
        <v>92</v>
      </c>
      <c r="C26" s="78"/>
      <c r="D26" s="45" t="s">
        <v>85</v>
      </c>
      <c r="E26" s="34" t="str">
        <f>IF('Inputs and Final Results'!$B$43="Dry",1,"0.75")</f>
        <v>0.75</v>
      </c>
      <c r="F26" s="27"/>
      <c r="G26" s="71">
        <v>38</v>
      </c>
      <c r="H26" s="8">
        <v>1.25</v>
      </c>
      <c r="I26" s="72" t="str">
        <f>IF('Inputs and Final Results'!$B$24='Data '!G26,'Data '!H26,"")</f>
        <v/>
      </c>
      <c r="J26" s="27"/>
      <c r="K26" s="11"/>
    </row>
    <row r="27" spans="1:11">
      <c r="A27" s="10"/>
      <c r="B27" s="78" t="s">
        <v>91</v>
      </c>
      <c r="C27" s="27"/>
      <c r="D27" s="45" t="s">
        <v>86</v>
      </c>
      <c r="E27" s="34" t="str">
        <f>IF('Inputs and Final Results'!$B$43="Dry",1,"0.85")</f>
        <v>0.85</v>
      </c>
      <c r="F27" s="27"/>
      <c r="G27" s="206" t="s">
        <v>133</v>
      </c>
      <c r="H27" s="207"/>
      <c r="I27" s="72" t="str">
        <f>IF(OR('Inputs and Final Results'!$B$24&gt;'Data '!G28,'Inputs and Final Results'!$B$24&lt;G26),"",(H28-(G28-'Inputs and Final Results'!$B$24)*('Data '!H28-'Data '!H26)/('Data '!G28-'Data '!G26)))</f>
        <v/>
      </c>
      <c r="J27" s="27"/>
      <c r="K27" s="11"/>
    </row>
    <row r="28" spans="1:11" ht="15.75" thickBot="1">
      <c r="A28" s="10"/>
      <c r="B28" s="27"/>
      <c r="C28" s="27"/>
      <c r="D28" s="47" t="s">
        <v>87</v>
      </c>
      <c r="E28" s="49" t="str">
        <f>IF('Inputs and Final Results'!$B$43="Dry",1,"0.90")</f>
        <v>0.90</v>
      </c>
      <c r="F28" s="27"/>
      <c r="G28" s="71">
        <v>50</v>
      </c>
      <c r="H28" s="8">
        <v>1.19</v>
      </c>
      <c r="I28" s="72" t="str">
        <f>IF('Inputs and Final Results'!$B$24='Data '!G28,'Data '!H28,"")</f>
        <v/>
      </c>
      <c r="J28" s="27"/>
      <c r="K28" s="11"/>
    </row>
    <row r="29" spans="1:11" ht="15.75" thickBot="1">
      <c r="A29" s="10"/>
      <c r="B29" s="27"/>
      <c r="C29" s="27"/>
      <c r="D29" s="27"/>
      <c r="E29" s="27"/>
      <c r="F29" s="27"/>
      <c r="G29" s="206" t="s">
        <v>133</v>
      </c>
      <c r="H29" s="207"/>
      <c r="I29" s="72" t="str">
        <f>IF(OR('Inputs and Final Results'!$B$24&gt;'Data '!G30,'Inputs and Final Results'!$B$24&lt;G28),"",(H30-(G30-'Inputs and Final Results'!$B$24)*('Data '!H30-'Data '!H28)/('Data '!G30-'Data '!G28)))</f>
        <v/>
      </c>
      <c r="J29" s="27"/>
      <c r="K29" s="11"/>
    </row>
    <row r="30" spans="1:11">
      <c r="A30" s="10"/>
      <c r="B30" s="27"/>
      <c r="C30" s="27"/>
      <c r="D30" s="43" t="s">
        <v>106</v>
      </c>
      <c r="E30" s="44" t="s">
        <v>107</v>
      </c>
      <c r="F30" s="27"/>
      <c r="G30" s="71">
        <v>75</v>
      </c>
      <c r="H30" s="8">
        <v>1.1299999999999999</v>
      </c>
      <c r="I30" s="72" t="str">
        <f>IF('Inputs and Final Results'!$B$24='Data '!G30,'Data '!H30,"")</f>
        <v/>
      </c>
      <c r="J30" s="27"/>
      <c r="K30" s="11"/>
    </row>
    <row r="31" spans="1:11">
      <c r="A31" s="10"/>
      <c r="B31" s="78"/>
      <c r="C31" s="78"/>
      <c r="D31" s="45" t="s">
        <v>88</v>
      </c>
      <c r="E31" s="46">
        <v>1</v>
      </c>
      <c r="F31" s="78"/>
      <c r="G31" s="206" t="s">
        <v>133</v>
      </c>
      <c r="H31" s="207"/>
      <c r="I31" s="72" t="str">
        <f>IF(OR('Inputs and Final Results'!$B$24&gt;'Data '!G32,'Inputs and Final Results'!$B$24&lt;G30),"",(H32-(G32-'Inputs and Final Results'!$B$24)*('Data '!H32-'Data '!H30)/('Data '!G32-'Data '!G30)))</f>
        <v/>
      </c>
      <c r="J31" s="27"/>
      <c r="K31" s="11"/>
    </row>
    <row r="32" spans="1:11">
      <c r="A32" s="10"/>
      <c r="B32" s="78"/>
      <c r="C32" s="27"/>
      <c r="D32" s="45" t="s">
        <v>80</v>
      </c>
      <c r="E32" s="46">
        <f>IF('Inputs and Final Results'!F35&gt;0,'Inputs and Final Results'!F35,LOOKUP(H18,K3:K17,I3:I17))</f>
        <v>1.1499999999999999</v>
      </c>
      <c r="F32" s="78"/>
      <c r="G32" s="71">
        <v>100</v>
      </c>
      <c r="H32" s="8">
        <v>1.1000000000000001</v>
      </c>
      <c r="I32" s="72" t="str">
        <f>IF('Inputs and Final Results'!$B$24='Data '!G32,'Data '!H32,"")</f>
        <v/>
      </c>
      <c r="J32" s="27"/>
      <c r="K32" s="11"/>
    </row>
    <row r="33" spans="1:11">
      <c r="A33" s="10"/>
      <c r="B33" s="78"/>
      <c r="C33" s="27"/>
      <c r="D33" s="45" t="s">
        <v>89</v>
      </c>
      <c r="E33" s="46">
        <f>IF('Inputs and Final Results'!B44="No System Effect",1,1.1)</f>
        <v>1.1000000000000001</v>
      </c>
      <c r="F33" s="78"/>
      <c r="G33" s="206" t="s">
        <v>133</v>
      </c>
      <c r="H33" s="207"/>
      <c r="I33" s="72" t="str">
        <f>IF(OR('Inputs and Final Results'!$B$24&gt;'Data '!G34,'Inputs and Final Results'!$B$24&lt;G32),"",(H34-(G34-'Inputs and Final Results'!$B$24)*('Data '!H34-'Data '!H32)/('Data '!G34-'Data '!G32)))</f>
        <v/>
      </c>
      <c r="J33" s="27"/>
      <c r="K33" s="11"/>
    </row>
    <row r="34" spans="1:11" ht="15.75" thickBot="1">
      <c r="A34" s="10"/>
      <c r="B34" s="78"/>
      <c r="C34" s="27"/>
      <c r="D34" s="47" t="s">
        <v>94</v>
      </c>
      <c r="E34" s="48" t="e">
        <f>MIN(IF(('Inputs and Final Results'!B25&lt;'Inputs and Final Results'!B22),(1-'Inputs and Final Results'!B26/'Inputs and Final Results'!B22),(1-('Inputs and Final Results'!B26*'Inputs and Final Results'!B25/('Inputs and Final Results'!B22*('Inputs and Final Results'!B22-'Inputs and Final Results'!B26))))),(1-'Inputs and Final Results'!B27/'Inputs and Final Results'!B22)^2)</f>
        <v>#DIV/0!</v>
      </c>
      <c r="F34" s="78"/>
      <c r="G34" s="73">
        <v>150</v>
      </c>
      <c r="H34" s="74">
        <v>1</v>
      </c>
      <c r="I34" s="75" t="str">
        <f>IF(OR('Inputs and Final Results'!$B$24='Data '!G34,'Inputs and Final Results'!$B$24&gt;'Data '!G34),'Data '!H34,"")</f>
        <v/>
      </c>
      <c r="J34" s="27"/>
      <c r="K34" s="11"/>
    </row>
    <row r="35" spans="1:11" ht="15.75" thickBot="1">
      <c r="A35" s="18"/>
      <c r="B35" s="80"/>
      <c r="C35" s="19"/>
      <c r="D35" s="80"/>
      <c r="E35" s="80"/>
      <c r="F35" s="80"/>
      <c r="G35" s="80"/>
      <c r="H35" s="80"/>
      <c r="I35" s="19"/>
      <c r="J35" s="19"/>
      <c r="K35" s="22"/>
    </row>
    <row r="36" spans="1:11">
      <c r="B36" s="24"/>
      <c r="D36" s="24"/>
      <c r="E36" s="24"/>
      <c r="F36" s="24"/>
      <c r="G36" s="24"/>
      <c r="H36" s="24"/>
    </row>
    <row r="37" spans="1:11">
      <c r="B37" s="24"/>
      <c r="D37" s="24"/>
      <c r="E37" s="24"/>
      <c r="F37" s="24"/>
      <c r="G37" s="24"/>
      <c r="H37" s="24"/>
    </row>
  </sheetData>
  <mergeCells count="10">
    <mergeCell ref="A1:K1"/>
    <mergeCell ref="E18:G18"/>
    <mergeCell ref="A20:K20"/>
    <mergeCell ref="G33:H33"/>
    <mergeCell ref="G21:I21"/>
    <mergeCell ref="G23:H23"/>
    <mergeCell ref="G25:H25"/>
    <mergeCell ref="G27:H27"/>
    <mergeCell ref="G29:H29"/>
    <mergeCell ref="G31:H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workbookViewId="0">
      <selection activeCell="A37" sqref="A37"/>
    </sheetView>
  </sheetViews>
  <sheetFormatPr defaultRowHeight="15"/>
  <cols>
    <col min="1" max="1" width="42.42578125" bestFit="1" customWidth="1"/>
    <col min="2" max="13" width="7.85546875" customWidth="1"/>
  </cols>
  <sheetData>
    <row r="1" spans="1:13" ht="15.75" thickBot="1"/>
    <row r="2" spans="1:13" ht="27" customHeight="1">
      <c r="B2" s="213" t="s">
        <v>58</v>
      </c>
      <c r="C2" s="214"/>
      <c r="D2" s="214"/>
      <c r="E2" s="214"/>
      <c r="F2" s="214"/>
      <c r="G2" s="215"/>
      <c r="H2" s="213" t="s">
        <v>59</v>
      </c>
      <c r="I2" s="214"/>
      <c r="J2" s="214"/>
      <c r="K2" s="215"/>
      <c r="L2" s="211" t="s">
        <v>62</v>
      </c>
      <c r="M2" s="212"/>
    </row>
    <row r="3" spans="1:13">
      <c r="B3" s="10" t="s">
        <v>52</v>
      </c>
      <c r="C3" s="27" t="s">
        <v>53</v>
      </c>
      <c r="D3" s="27" t="s">
        <v>54</v>
      </c>
      <c r="E3" s="27" t="s">
        <v>55</v>
      </c>
      <c r="F3" s="27" t="s">
        <v>56</v>
      </c>
      <c r="G3" s="11" t="s">
        <v>57</v>
      </c>
      <c r="H3" s="10" t="s">
        <v>54</v>
      </c>
      <c r="I3" s="27" t="s">
        <v>55</v>
      </c>
      <c r="J3" s="27" t="s">
        <v>60</v>
      </c>
      <c r="K3" s="11" t="s">
        <v>61</v>
      </c>
      <c r="L3" s="10" t="s">
        <v>52</v>
      </c>
      <c r="M3" s="11" t="s">
        <v>63</v>
      </c>
    </row>
    <row r="4" spans="1:13">
      <c r="A4" s="2" t="s">
        <v>48</v>
      </c>
      <c r="B4" s="29">
        <v>30.6</v>
      </c>
      <c r="C4" s="30">
        <v>30.6</v>
      </c>
      <c r="D4" s="30">
        <v>25.6</v>
      </c>
      <c r="E4" s="30">
        <v>25.6</v>
      </c>
      <c r="F4" s="30">
        <v>24.3</v>
      </c>
      <c r="G4" s="30">
        <v>14</v>
      </c>
      <c r="H4" s="29">
        <v>25.6</v>
      </c>
      <c r="I4" s="30">
        <v>25.6</v>
      </c>
      <c r="J4" s="30">
        <v>24.3</v>
      </c>
      <c r="K4" s="31">
        <v>9.8000000000000007</v>
      </c>
      <c r="L4" s="29">
        <v>30.6</v>
      </c>
      <c r="M4" s="31">
        <v>30.6</v>
      </c>
    </row>
    <row r="5" spans="1:13">
      <c r="A5" s="2" t="s">
        <v>47</v>
      </c>
      <c r="B5" s="29">
        <v>23</v>
      </c>
      <c r="C5" s="30">
        <v>30.6</v>
      </c>
      <c r="D5" s="30">
        <v>19.2</v>
      </c>
      <c r="E5" s="30">
        <v>25.6</v>
      </c>
      <c r="F5" s="30">
        <v>24.3</v>
      </c>
      <c r="G5" s="30">
        <v>14</v>
      </c>
      <c r="H5" s="29">
        <v>19.2</v>
      </c>
      <c r="I5" s="30">
        <v>25.6</v>
      </c>
      <c r="J5" s="30">
        <v>24.3</v>
      </c>
      <c r="K5" s="31">
        <v>9.8000000000000007</v>
      </c>
      <c r="L5" s="29">
        <v>23</v>
      </c>
      <c r="M5" s="31">
        <v>30.6</v>
      </c>
    </row>
    <row r="6" spans="1:13">
      <c r="A6" s="2" t="s">
        <v>46</v>
      </c>
      <c r="B6" s="29">
        <v>2</v>
      </c>
      <c r="C6" s="30">
        <v>2</v>
      </c>
      <c r="D6" s="30">
        <v>2</v>
      </c>
      <c r="E6" s="30">
        <v>2</v>
      </c>
      <c r="F6" s="30">
        <v>2</v>
      </c>
      <c r="G6" s="31">
        <v>2</v>
      </c>
      <c r="H6" s="32">
        <v>1.75</v>
      </c>
      <c r="I6" s="33">
        <v>1.75</v>
      </c>
      <c r="J6" s="33">
        <v>1.75</v>
      </c>
      <c r="K6" s="34">
        <v>1.75</v>
      </c>
      <c r="L6" s="29">
        <v>1.8</v>
      </c>
      <c r="M6" s="31">
        <v>1.8</v>
      </c>
    </row>
    <row r="7" spans="1:13">
      <c r="A7" s="2" t="s">
        <v>49</v>
      </c>
      <c r="B7" s="29">
        <v>7</v>
      </c>
      <c r="C7" s="30">
        <v>7</v>
      </c>
      <c r="D7" s="30">
        <v>7</v>
      </c>
      <c r="E7" s="30">
        <v>7</v>
      </c>
      <c r="F7" s="30">
        <v>7</v>
      </c>
      <c r="G7" s="31">
        <v>7</v>
      </c>
      <c r="H7" s="29">
        <v>5.8</v>
      </c>
      <c r="I7" s="30">
        <v>5.8</v>
      </c>
      <c r="J7" s="30">
        <v>5.8</v>
      </c>
      <c r="K7" s="31">
        <v>5.8</v>
      </c>
      <c r="L7" s="29">
        <v>4.5999999999999996</v>
      </c>
      <c r="M7" s="31">
        <v>7</v>
      </c>
    </row>
    <row r="8" spans="1:13">
      <c r="A8" s="2" t="s">
        <v>50</v>
      </c>
      <c r="B8" s="29">
        <v>7</v>
      </c>
      <c r="C8" s="30">
        <v>7</v>
      </c>
      <c r="D8" s="30">
        <v>7</v>
      </c>
      <c r="E8" s="30">
        <v>7</v>
      </c>
      <c r="F8" s="30">
        <v>7</v>
      </c>
      <c r="G8" s="31">
        <v>7</v>
      </c>
      <c r="H8" s="29">
        <v>5.8</v>
      </c>
      <c r="I8" s="30">
        <v>5.8</v>
      </c>
      <c r="J8" s="30">
        <v>5.8</v>
      </c>
      <c r="K8" s="31">
        <v>5.8</v>
      </c>
      <c r="L8" s="29">
        <v>7</v>
      </c>
      <c r="M8" s="31">
        <v>7</v>
      </c>
    </row>
    <row r="9" spans="1:13">
      <c r="A9" s="2" t="s">
        <v>64</v>
      </c>
      <c r="B9" s="32">
        <v>0.83</v>
      </c>
      <c r="C9" s="33">
        <v>0.83</v>
      </c>
      <c r="D9" s="33">
        <v>0.83</v>
      </c>
      <c r="E9" s="33">
        <v>0.83</v>
      </c>
      <c r="F9" s="33">
        <v>0.83</v>
      </c>
      <c r="G9" s="34">
        <v>0.83</v>
      </c>
      <c r="H9" s="32">
        <v>0.51</v>
      </c>
      <c r="I9" s="33">
        <v>0.51</v>
      </c>
      <c r="J9" s="33">
        <v>0.51</v>
      </c>
      <c r="K9" s="34">
        <v>0.51</v>
      </c>
      <c r="L9" s="32">
        <v>0.83</v>
      </c>
      <c r="M9" s="34">
        <v>0.83</v>
      </c>
    </row>
    <row r="10" spans="1:13" ht="15.75" thickBot="1">
      <c r="A10" s="2" t="s">
        <v>51</v>
      </c>
      <c r="B10" s="35">
        <v>12800</v>
      </c>
      <c r="C10" s="36">
        <v>12800</v>
      </c>
      <c r="D10" s="36">
        <v>12400</v>
      </c>
      <c r="E10" s="36">
        <v>12400</v>
      </c>
      <c r="F10" s="36">
        <v>13800</v>
      </c>
      <c r="G10" s="37">
        <v>12400</v>
      </c>
      <c r="H10" s="35">
        <v>10300</v>
      </c>
      <c r="I10" s="36">
        <v>10300</v>
      </c>
      <c r="J10" s="36">
        <v>10700</v>
      </c>
      <c r="K10" s="37">
        <v>9700</v>
      </c>
      <c r="L10" s="35">
        <v>13100</v>
      </c>
      <c r="M10" s="37">
        <v>13100</v>
      </c>
    </row>
    <row r="11" spans="1:13" ht="15.75" thickBot="1">
      <c r="A11" s="4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7" customHeight="1">
      <c r="B12" s="213" t="s">
        <v>58</v>
      </c>
      <c r="C12" s="214"/>
      <c r="D12" s="214"/>
      <c r="E12" s="214"/>
      <c r="F12" s="214"/>
      <c r="G12" s="215"/>
      <c r="H12" s="213" t="s">
        <v>59</v>
      </c>
      <c r="I12" s="214"/>
      <c r="J12" s="214"/>
      <c r="K12" s="215"/>
      <c r="L12" s="211" t="s">
        <v>62</v>
      </c>
      <c r="M12" s="212"/>
    </row>
    <row r="13" spans="1:13">
      <c r="B13" s="10" t="s">
        <v>52</v>
      </c>
      <c r="C13" s="27" t="s">
        <v>53</v>
      </c>
      <c r="D13" s="27" t="s">
        <v>54</v>
      </c>
      <c r="E13" s="27" t="s">
        <v>55</v>
      </c>
      <c r="F13" s="27" t="s">
        <v>56</v>
      </c>
      <c r="G13" s="27" t="s">
        <v>57</v>
      </c>
      <c r="H13" s="10" t="s">
        <v>54</v>
      </c>
      <c r="I13" s="27" t="s">
        <v>55</v>
      </c>
      <c r="J13" s="27" t="s">
        <v>60</v>
      </c>
      <c r="K13" s="11" t="s">
        <v>61</v>
      </c>
      <c r="L13" s="10" t="s">
        <v>52</v>
      </c>
      <c r="M13" s="11" t="s">
        <v>63</v>
      </c>
    </row>
    <row r="14" spans="1:13">
      <c r="A14" s="4" t="s">
        <v>48</v>
      </c>
      <c r="B14" s="29">
        <f>IF(AND('Inputs and Final Results'!$B$29='Glue Lam Str. Table'!$B$2,B$3='Inputs and Final Results'!$B$30),B4,0)</f>
        <v>0</v>
      </c>
      <c r="C14" s="30">
        <f>IF(AND('Inputs and Final Results'!$B$29='Glue Lam Str. Table'!$B$2,C$3='Inputs and Final Results'!$B$30),C4,0)</f>
        <v>0</v>
      </c>
      <c r="D14" s="30">
        <f>IF(AND('Inputs and Final Results'!$B$29='Glue Lam Str. Table'!$B$2,D$3='Inputs and Final Results'!$B$30),D4,0)</f>
        <v>0</v>
      </c>
      <c r="E14" s="30">
        <f>IF(AND('Inputs and Final Results'!$B$29='Glue Lam Str. Table'!$B$2,E$3='Inputs and Final Results'!$B$30),E4,0)</f>
        <v>0</v>
      </c>
      <c r="F14" s="30">
        <f>IF(AND('Inputs and Final Results'!$B$29='Glue Lam Str. Table'!$B$2,F$3='Inputs and Final Results'!$B$30),F4,0)</f>
        <v>0</v>
      </c>
      <c r="G14" s="30">
        <f>IF(AND('Inputs and Final Results'!$B$29='Glue Lam Str. Table'!$B$2,G$3='Inputs and Final Results'!$B$30),G4,0)</f>
        <v>0</v>
      </c>
      <c r="H14" s="29">
        <f>IF(AND('Inputs and Final Results'!$B$29='Glue Lam Str. Table'!$H$2,H$3='Inputs and Final Results'!$B$30),H4,0)</f>
        <v>0</v>
      </c>
      <c r="I14" s="30">
        <f>IF(AND('Inputs and Final Results'!$B$29='Glue Lam Str. Table'!$H$2,I$3='Inputs and Final Results'!$B$30),I4,0)</f>
        <v>0</v>
      </c>
      <c r="J14" s="30">
        <f>IF(AND('Inputs and Final Results'!$B$29='Glue Lam Str. Table'!$H$2,J$3='Inputs and Final Results'!$B$30),J4,0)</f>
        <v>0</v>
      </c>
      <c r="K14" s="31">
        <f>IF(AND('Inputs and Final Results'!$B$29='Glue Lam Str. Table'!$H$2,K$3='Inputs and Final Results'!$B$30),K4,0)</f>
        <v>0</v>
      </c>
      <c r="L14" s="29">
        <f>IF(AND('Inputs and Final Results'!$B$29='Glue Lam Str. Table'!$L$2,L$3='Inputs and Final Results'!$B$30),L4,0)</f>
        <v>0</v>
      </c>
      <c r="M14" s="31">
        <f>IF(AND('Inputs and Final Results'!$B$29='Glue Lam Str. Table'!$L$2,M$3='Inputs and Final Results'!$B$30),M4,0)</f>
        <v>30.6</v>
      </c>
    </row>
    <row r="15" spans="1:13">
      <c r="A15" s="4" t="s">
        <v>47</v>
      </c>
      <c r="B15" s="29">
        <f>IF(AND('Inputs and Final Results'!$B$29='Glue Lam Str. Table'!$B$2,B$3='Inputs and Final Results'!$B$30),B5,0)</f>
        <v>0</v>
      </c>
      <c r="C15" s="30">
        <f>IF(AND('Inputs and Final Results'!$B$29='Glue Lam Str. Table'!$B$2,C$3='Inputs and Final Results'!$B$30),C5,0)</f>
        <v>0</v>
      </c>
      <c r="D15" s="30">
        <f>IF(AND('Inputs and Final Results'!$B$29='Glue Lam Str. Table'!$B$2,D$3='Inputs and Final Results'!$B$30),D5,0)</f>
        <v>0</v>
      </c>
      <c r="E15" s="30">
        <f>IF(AND('Inputs and Final Results'!$B$29='Glue Lam Str. Table'!$B$2,E$3='Inputs and Final Results'!$B$30),E5,0)</f>
        <v>0</v>
      </c>
      <c r="F15" s="30">
        <f>IF(AND('Inputs and Final Results'!$B$29='Glue Lam Str. Table'!$B$2,F$3='Inputs and Final Results'!$B$30),F5,0)</f>
        <v>0</v>
      </c>
      <c r="G15" s="30">
        <f>IF(AND('Inputs and Final Results'!$B$29='Glue Lam Str. Table'!$B$2,G$3='Inputs and Final Results'!$B$30),G5,0)</f>
        <v>0</v>
      </c>
      <c r="H15" s="29">
        <f>IF(AND('Inputs and Final Results'!$B$29='Glue Lam Str. Table'!$H$2,H$3='Inputs and Final Results'!$B$30),H5,0)</f>
        <v>0</v>
      </c>
      <c r="I15" s="30">
        <f>IF(AND('Inputs and Final Results'!$B$29='Glue Lam Str. Table'!$H$2,I$3='Inputs and Final Results'!$B$30),I5,0)</f>
        <v>0</v>
      </c>
      <c r="J15" s="30">
        <f>IF(AND('Inputs and Final Results'!$B$29='Glue Lam Str. Table'!$H$2,J$3='Inputs and Final Results'!$B$30),J5,0)</f>
        <v>0</v>
      </c>
      <c r="K15" s="31">
        <f>IF(AND('Inputs and Final Results'!$B$29='Glue Lam Str. Table'!$H$2,K$3='Inputs and Final Results'!$B$30),K5,0)</f>
        <v>0</v>
      </c>
      <c r="L15" s="29">
        <f>IF(AND('Inputs and Final Results'!$B$29='Glue Lam Str. Table'!$L$2,L$3='Inputs and Final Results'!$B$30),L5,0)</f>
        <v>0</v>
      </c>
      <c r="M15" s="31">
        <f>IF(AND('Inputs and Final Results'!$B$29='Glue Lam Str. Table'!$L$2,M$3='Inputs and Final Results'!$B$30),M5,0)</f>
        <v>30.6</v>
      </c>
    </row>
    <row r="16" spans="1:13">
      <c r="A16" s="4" t="s">
        <v>46</v>
      </c>
      <c r="B16" s="29">
        <f>IF(AND('Inputs and Final Results'!$B$29='Glue Lam Str. Table'!$B$2,B$3='Inputs and Final Results'!$B$30),B6,0)</f>
        <v>0</v>
      </c>
      <c r="C16" s="30">
        <f>IF(AND('Inputs and Final Results'!$B$29='Glue Lam Str. Table'!$B$2,C$3='Inputs and Final Results'!$B$30),C6,0)</f>
        <v>0</v>
      </c>
      <c r="D16" s="30">
        <f>IF(AND('Inputs and Final Results'!$B$29='Glue Lam Str. Table'!$B$2,D$3='Inputs and Final Results'!$B$30),D6,0)</f>
        <v>0</v>
      </c>
      <c r="E16" s="30">
        <f>IF(AND('Inputs and Final Results'!$B$29='Glue Lam Str. Table'!$B$2,E$3='Inputs and Final Results'!$B$30),E6,0)</f>
        <v>0</v>
      </c>
      <c r="F16" s="30">
        <f>IF(AND('Inputs and Final Results'!$B$29='Glue Lam Str. Table'!$B$2,F$3='Inputs and Final Results'!$B$30),F6,0)</f>
        <v>0</v>
      </c>
      <c r="G16" s="30">
        <f>IF(AND('Inputs and Final Results'!$B$29='Glue Lam Str. Table'!$B$2,G$3='Inputs and Final Results'!$B$30),G6,0)</f>
        <v>0</v>
      </c>
      <c r="H16" s="29">
        <f>IF(AND('Inputs and Final Results'!$B$29='Glue Lam Str. Table'!$H$2,H$3='Inputs and Final Results'!$B$30),H6,0)</f>
        <v>0</v>
      </c>
      <c r="I16" s="30">
        <f>IF(AND('Inputs and Final Results'!$B$29='Glue Lam Str. Table'!$H$2,I$3='Inputs and Final Results'!$B$30),I6,0)</f>
        <v>0</v>
      </c>
      <c r="J16" s="30">
        <f>IF(AND('Inputs and Final Results'!$B$29='Glue Lam Str. Table'!$H$2,J$3='Inputs and Final Results'!$B$30),J6,0)</f>
        <v>0</v>
      </c>
      <c r="K16" s="31">
        <f>IF(AND('Inputs and Final Results'!$B$29='Glue Lam Str. Table'!$H$2,K$3='Inputs and Final Results'!$B$30),K6,0)</f>
        <v>0</v>
      </c>
      <c r="L16" s="29">
        <f>IF(AND('Inputs and Final Results'!$B$29='Glue Lam Str. Table'!$L$2,L$3='Inputs and Final Results'!$B$30),L6,0)</f>
        <v>0</v>
      </c>
      <c r="M16" s="31">
        <f>IF(AND('Inputs and Final Results'!$B$29='Glue Lam Str. Table'!$L$2,M$3='Inputs and Final Results'!$B$30),M6,0)</f>
        <v>1.8</v>
      </c>
    </row>
    <row r="17" spans="1:13">
      <c r="A17" s="4" t="s">
        <v>49</v>
      </c>
      <c r="B17" s="29">
        <f>IF(AND('Inputs and Final Results'!$B$29='Glue Lam Str. Table'!$B$2,B$3='Inputs and Final Results'!$B$30),B7,0)</f>
        <v>0</v>
      </c>
      <c r="C17" s="30">
        <f>IF(AND('Inputs and Final Results'!$B$29='Glue Lam Str. Table'!$B$2,C$3='Inputs and Final Results'!$B$30),C7,0)</f>
        <v>0</v>
      </c>
      <c r="D17" s="30">
        <f>IF(AND('Inputs and Final Results'!$B$29='Glue Lam Str. Table'!$B$2,D$3='Inputs and Final Results'!$B$30),D7,0)</f>
        <v>0</v>
      </c>
      <c r="E17" s="30">
        <f>IF(AND('Inputs and Final Results'!$B$29='Glue Lam Str. Table'!$B$2,E$3='Inputs and Final Results'!$B$30),E7,0)</f>
        <v>0</v>
      </c>
      <c r="F17" s="30">
        <f>IF(AND('Inputs and Final Results'!$B$29='Glue Lam Str. Table'!$B$2,F$3='Inputs and Final Results'!$B$30),F7,0)</f>
        <v>0</v>
      </c>
      <c r="G17" s="30">
        <f>IF(AND('Inputs and Final Results'!$B$29='Glue Lam Str. Table'!$B$2,G$3='Inputs and Final Results'!$B$30),G7,0)</f>
        <v>0</v>
      </c>
      <c r="H17" s="29">
        <f>IF(AND('Inputs and Final Results'!$B$29='Glue Lam Str. Table'!$H$2,H$3='Inputs and Final Results'!$B$30),H7,0)</f>
        <v>0</v>
      </c>
      <c r="I17" s="30">
        <f>IF(AND('Inputs and Final Results'!$B$29='Glue Lam Str. Table'!$H$2,I$3='Inputs and Final Results'!$B$30),I7,0)</f>
        <v>0</v>
      </c>
      <c r="J17" s="30">
        <f>IF(AND('Inputs and Final Results'!$B$29='Glue Lam Str. Table'!$H$2,J$3='Inputs and Final Results'!$B$30),J7,0)</f>
        <v>0</v>
      </c>
      <c r="K17" s="31">
        <f>IF(AND('Inputs and Final Results'!$B$29='Glue Lam Str. Table'!$H$2,K$3='Inputs and Final Results'!$B$30),K7,0)</f>
        <v>0</v>
      </c>
      <c r="L17" s="29">
        <f>IF(AND('Inputs and Final Results'!$B$29='Glue Lam Str. Table'!$L$2,L$3='Inputs and Final Results'!$B$30),L7,0)</f>
        <v>0</v>
      </c>
      <c r="M17" s="31">
        <f>IF(AND('Inputs and Final Results'!$B$29='Glue Lam Str. Table'!$L$2,M$3='Inputs and Final Results'!$B$30),M7,0)</f>
        <v>7</v>
      </c>
    </row>
    <row r="18" spans="1:13">
      <c r="A18" s="4" t="s">
        <v>50</v>
      </c>
      <c r="B18" s="29">
        <f>IF(AND('Inputs and Final Results'!$B$29='Glue Lam Str. Table'!$B$2,B$3='Inputs and Final Results'!$B$30),B8,0)</f>
        <v>0</v>
      </c>
      <c r="C18" s="30">
        <f>IF(AND('Inputs and Final Results'!$B$29='Glue Lam Str. Table'!$B$2,C$3='Inputs and Final Results'!$B$30),C8,0)</f>
        <v>0</v>
      </c>
      <c r="D18" s="30">
        <f>IF(AND('Inputs and Final Results'!$B$29='Glue Lam Str. Table'!$B$2,D$3='Inputs and Final Results'!$B$30),D8,0)</f>
        <v>0</v>
      </c>
      <c r="E18" s="30">
        <f>IF(AND('Inputs and Final Results'!$B$29='Glue Lam Str. Table'!$B$2,E$3='Inputs and Final Results'!$B$30),E8,0)</f>
        <v>0</v>
      </c>
      <c r="F18" s="30">
        <f>IF(AND('Inputs and Final Results'!$B$29='Glue Lam Str. Table'!$B$2,F$3='Inputs and Final Results'!$B$30),F8,0)</f>
        <v>0</v>
      </c>
      <c r="G18" s="30">
        <f>IF(AND('Inputs and Final Results'!$B$29='Glue Lam Str. Table'!$B$2,G$3='Inputs and Final Results'!$B$30),G8,0)</f>
        <v>0</v>
      </c>
      <c r="H18" s="29">
        <f>IF(AND('Inputs and Final Results'!$B$29='Glue Lam Str. Table'!$H$2,H$3='Inputs and Final Results'!$B$30),H8,0)</f>
        <v>0</v>
      </c>
      <c r="I18" s="30">
        <f>IF(AND('Inputs and Final Results'!$B$29='Glue Lam Str. Table'!$H$2,I$3='Inputs and Final Results'!$B$30),I8,0)</f>
        <v>0</v>
      </c>
      <c r="J18" s="30">
        <f>IF(AND('Inputs and Final Results'!$B$29='Glue Lam Str. Table'!$H$2,J$3='Inputs and Final Results'!$B$30),J8,0)</f>
        <v>0</v>
      </c>
      <c r="K18" s="31">
        <f>IF(AND('Inputs and Final Results'!$B$29='Glue Lam Str. Table'!$H$2,K$3='Inputs and Final Results'!$B$30),K8,0)</f>
        <v>0</v>
      </c>
      <c r="L18" s="29">
        <f>IF(AND('Inputs and Final Results'!$B$29='Glue Lam Str. Table'!$L$2,L$3='Inputs and Final Results'!$B$30),L8,0)</f>
        <v>0</v>
      </c>
      <c r="M18" s="31">
        <f>IF(AND('Inputs and Final Results'!$B$29='Glue Lam Str. Table'!$L$2,M$3='Inputs and Final Results'!$B$30),M8,0)</f>
        <v>7</v>
      </c>
    </row>
    <row r="19" spans="1:13">
      <c r="A19" s="4" t="s">
        <v>64</v>
      </c>
      <c r="B19" s="32">
        <f>IF(AND('Inputs and Final Results'!$B$29='Glue Lam Str. Table'!$B$2,B$3='Inputs and Final Results'!$B$30),B9,0)</f>
        <v>0</v>
      </c>
      <c r="C19" s="33">
        <f>IF(AND('Inputs and Final Results'!$B$29='Glue Lam Str. Table'!$B$2,C$3='Inputs and Final Results'!$B$30),C9,0)</f>
        <v>0</v>
      </c>
      <c r="D19" s="33">
        <f>IF(AND('Inputs and Final Results'!$B$29='Glue Lam Str. Table'!$B$2,D$3='Inputs and Final Results'!$B$30),D9,0)</f>
        <v>0</v>
      </c>
      <c r="E19" s="33">
        <f>IF(AND('Inputs and Final Results'!$B$29='Glue Lam Str. Table'!$B$2,E$3='Inputs and Final Results'!$B$30),E9,0)</f>
        <v>0</v>
      </c>
      <c r="F19" s="33">
        <f>IF(AND('Inputs and Final Results'!$B$29='Glue Lam Str. Table'!$B$2,F$3='Inputs and Final Results'!$B$30),F9,0)</f>
        <v>0</v>
      </c>
      <c r="G19" s="33">
        <f>IF(AND('Inputs and Final Results'!$B$29='Glue Lam Str. Table'!$B$2,G$3='Inputs and Final Results'!$B$30),G9,0)</f>
        <v>0</v>
      </c>
      <c r="H19" s="32">
        <f>IF(AND('Inputs and Final Results'!$B$29='Glue Lam Str. Table'!$H$2,H$3='Inputs and Final Results'!$B$30),H9,0)</f>
        <v>0</v>
      </c>
      <c r="I19" s="33">
        <f>IF(AND('Inputs and Final Results'!$B$29='Glue Lam Str. Table'!$H$2,I$3='Inputs and Final Results'!$B$30),I9,0)</f>
        <v>0</v>
      </c>
      <c r="J19" s="33">
        <f>IF(AND('Inputs and Final Results'!$B$29='Glue Lam Str. Table'!$H$2,J$3='Inputs and Final Results'!$B$30),J9,0)</f>
        <v>0</v>
      </c>
      <c r="K19" s="34">
        <f>IF(AND('Inputs and Final Results'!$B$29='Glue Lam Str. Table'!$H$2,K$3='Inputs and Final Results'!$B$30),K9,0)</f>
        <v>0</v>
      </c>
      <c r="L19" s="32">
        <f>IF(AND('Inputs and Final Results'!$B$29='Glue Lam Str. Table'!$L$2,L$3='Inputs and Final Results'!$B$30),L9,0)</f>
        <v>0</v>
      </c>
      <c r="M19" s="34">
        <f>IF(AND('Inputs and Final Results'!$B$29='Glue Lam Str. Table'!$L$2,M$3='Inputs and Final Results'!$B$30),M9,0)</f>
        <v>0.83</v>
      </c>
    </row>
    <row r="20" spans="1:13" ht="15.75" thickBot="1">
      <c r="A20" s="4" t="s">
        <v>51</v>
      </c>
      <c r="B20" s="35">
        <f>IF(AND('Inputs and Final Results'!$B$29='Glue Lam Str. Table'!$B$2,B$3='Inputs and Final Results'!$B$30),B10,0)</f>
        <v>0</v>
      </c>
      <c r="C20" s="36">
        <f>IF(AND('Inputs and Final Results'!$B$29='Glue Lam Str. Table'!$B$2,C$3='Inputs and Final Results'!$B$30),C10,0)</f>
        <v>0</v>
      </c>
      <c r="D20" s="36">
        <f>IF(AND('Inputs and Final Results'!$B$29='Glue Lam Str. Table'!$B$2,D$3='Inputs and Final Results'!$B$30),D10,0)</f>
        <v>0</v>
      </c>
      <c r="E20" s="36">
        <f>IF(AND('Inputs and Final Results'!$B$29='Glue Lam Str. Table'!$B$2,E$3='Inputs and Final Results'!$B$30),E10,0)</f>
        <v>0</v>
      </c>
      <c r="F20" s="36">
        <f>IF(AND('Inputs and Final Results'!$B$29='Glue Lam Str. Table'!$B$2,F$3='Inputs and Final Results'!$B$30),F10,0)</f>
        <v>0</v>
      </c>
      <c r="G20" s="36">
        <f>IF(AND('Inputs and Final Results'!$B$29='Glue Lam Str. Table'!$B$2,G$3='Inputs and Final Results'!$B$30),G10,0)</f>
        <v>0</v>
      </c>
      <c r="H20" s="35">
        <f>IF(AND('Inputs and Final Results'!$B$29='Glue Lam Str. Table'!$H$2,H$3='Inputs and Final Results'!$B$30),H10,0)</f>
        <v>0</v>
      </c>
      <c r="I20" s="36">
        <f>IF(AND('Inputs and Final Results'!$B$29='Glue Lam Str. Table'!$H$2,I$3='Inputs and Final Results'!$B$30),I10,0)</f>
        <v>0</v>
      </c>
      <c r="J20" s="36">
        <f>IF(AND('Inputs and Final Results'!$B$29='Glue Lam Str. Table'!$H$2,J$3='Inputs and Final Results'!$B$30),J10,0)</f>
        <v>0</v>
      </c>
      <c r="K20" s="37">
        <f>IF(AND('Inputs and Final Results'!$B$29='Glue Lam Str. Table'!$H$2,K$3='Inputs and Final Results'!$B$30),K10,0)</f>
        <v>0</v>
      </c>
      <c r="L20" s="35">
        <f>IF(AND('Inputs and Final Results'!$B$29='Glue Lam Str. Table'!$L$2,L$3='Inputs and Final Results'!$B$30),L10,0)</f>
        <v>0</v>
      </c>
      <c r="M20" s="37">
        <f>IF(AND('Inputs and Final Results'!$B$29='Glue Lam Str. Table'!$L$2,M$3='Inputs and Final Results'!$B$30),M10,0)</f>
        <v>13100</v>
      </c>
    </row>
    <row r="21" spans="1:13">
      <c r="A21" s="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>
      <c r="A22" s="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>
      <c r="A23" s="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>
      <c r="A24" s="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6" spans="1:13">
      <c r="A26" s="3" t="s">
        <v>66</v>
      </c>
      <c r="B26" s="3" t="s">
        <v>67</v>
      </c>
      <c r="C26" t="s">
        <v>68</v>
      </c>
    </row>
    <row r="27" spans="1:13">
      <c r="A27" t="s">
        <v>58</v>
      </c>
      <c r="B27" t="str">
        <f>IF('Inputs and Final Results'!$B$29=$B$2,B3,IF('Inputs and Final Results'!$B$29=$H$2,H3,IF('Inputs and Final Results'!$B$29=$L$2,L3,"N/A")))</f>
        <v>24f-E</v>
      </c>
    </row>
    <row r="28" spans="1:13">
      <c r="A28" t="s">
        <v>59</v>
      </c>
      <c r="B28" t="str">
        <f>IF('Inputs and Final Results'!$B$29=$B$2,C3,IF('Inputs and Final Results'!$B$29=$H$2,I3,IF('Inputs and Final Results'!$B$29=$L$2,M3,"N/A")))</f>
        <v>24-EX</v>
      </c>
    </row>
    <row r="29" spans="1:13">
      <c r="A29" t="s">
        <v>62</v>
      </c>
      <c r="B29" t="str">
        <f>IF('Inputs and Final Results'!$B$29=$B$2,D3,IF('Inputs and Final Results'!$B$29=$H$2,J3,"N/A"))</f>
        <v>N/A</v>
      </c>
    </row>
    <row r="30" spans="1:13">
      <c r="B30" t="str">
        <f>IF('Inputs and Final Results'!$B$29=$B$2,E3,IF('Inputs and Final Results'!$B$29=$H$2,K3,"N/A"))</f>
        <v>N/A</v>
      </c>
    </row>
    <row r="31" spans="1:13">
      <c r="B31" t="str">
        <f>IF('Inputs and Final Results'!$B$29=$B$2,F3,"N/A")</f>
        <v>N/A</v>
      </c>
    </row>
    <row r="32" spans="1:13">
      <c r="B32" t="str">
        <f>IF('Inputs and Final Results'!$B$29=$B$2,G3,"N/A")</f>
        <v>N/A</v>
      </c>
    </row>
  </sheetData>
  <mergeCells count="6">
    <mergeCell ref="L12:M12"/>
    <mergeCell ref="L2:M2"/>
    <mergeCell ref="B2:G2"/>
    <mergeCell ref="B12:G12"/>
    <mergeCell ref="H2:K2"/>
    <mergeCell ref="H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Inputs and Final Results</vt:lpstr>
      <vt:lpstr>Data </vt:lpstr>
      <vt:lpstr>Glue Lam Str. Table</vt:lpstr>
      <vt:lpstr>'Inputs and Final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Lister</dc:creator>
  <cp:lastModifiedBy>David Lister</cp:lastModifiedBy>
  <cp:lastPrinted>2014-04-01T02:10:11Z</cp:lastPrinted>
  <dcterms:created xsi:type="dcterms:W3CDTF">2014-03-18T00:39:50Z</dcterms:created>
  <dcterms:modified xsi:type="dcterms:W3CDTF">2014-04-01T02:24:16Z</dcterms:modified>
</cp:coreProperties>
</file>