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495" yWindow="0" windowWidth="25545" windowHeight="1456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2" i="1" l="1"/>
  <c r="AC13" i="1"/>
  <c r="AC14" i="1" s="1"/>
  <c r="AC15" i="1" s="1"/>
  <c r="AC17" i="1"/>
  <c r="C134" i="1"/>
  <c r="C152" i="1"/>
  <c r="C136" i="1"/>
  <c r="D28" i="1"/>
  <c r="G50" i="1"/>
  <c r="D105" i="1" s="1"/>
  <c r="G51" i="1"/>
  <c r="D106" i="1"/>
  <c r="F106" i="1" s="1"/>
  <c r="G52" i="1"/>
  <c r="G53" i="1"/>
  <c r="D109" i="1"/>
  <c r="F109" i="1" s="1"/>
  <c r="D111" i="1"/>
  <c r="F111" i="1" s="1"/>
  <c r="D113" i="1"/>
  <c r="F113" i="1" s="1"/>
  <c r="D115" i="1"/>
  <c r="F115" i="1" s="1"/>
  <c r="D117" i="1"/>
  <c r="F117" i="1" s="1"/>
  <c r="D119" i="1"/>
  <c r="F119" i="1" s="1"/>
  <c r="D121" i="1"/>
  <c r="F121" i="1" s="1"/>
  <c r="D123" i="1"/>
  <c r="F123" i="1" s="1"/>
  <c r="G54" i="1"/>
  <c r="H23" i="1"/>
  <c r="C154" i="1"/>
  <c r="C137" i="1"/>
  <c r="C153" i="1"/>
  <c r="F50" i="1"/>
  <c r="D81" i="1" s="1"/>
  <c r="D78" i="1"/>
  <c r="F78" i="1" s="1"/>
  <c r="F51" i="1"/>
  <c r="D79" i="1"/>
  <c r="G79" i="1" s="1"/>
  <c r="F79" i="1"/>
  <c r="F52" i="1"/>
  <c r="F53" i="1"/>
  <c r="D84" i="1" s="1"/>
  <c r="D82" i="1"/>
  <c r="G82" i="1" s="1"/>
  <c r="F82" i="1"/>
  <c r="D86" i="1"/>
  <c r="G86" i="1" s="1"/>
  <c r="F86" i="1"/>
  <c r="D88" i="1"/>
  <c r="G88" i="1" s="1"/>
  <c r="F88" i="1"/>
  <c r="F54" i="1"/>
  <c r="D98" i="1"/>
  <c r="F98" i="1" s="1"/>
  <c r="C190" i="1"/>
  <c r="M189" i="1"/>
  <c r="M190" i="1"/>
  <c r="D176" i="1"/>
  <c r="D177" i="1"/>
  <c r="D179" i="1" s="1"/>
  <c r="D186" i="1" s="1"/>
  <c r="D178" i="1"/>
  <c r="D180" i="1"/>
  <c r="D181" i="1"/>
  <c r="D182" i="1"/>
  <c r="D183" i="1"/>
  <c r="D184" i="1"/>
  <c r="D185" i="1"/>
  <c r="C192" i="1"/>
  <c r="C163" i="1"/>
  <c r="C161" i="1"/>
  <c r="H22" i="1"/>
  <c r="C167" i="1"/>
  <c r="C164" i="1"/>
  <c r="C166" i="1" s="1"/>
  <c r="C165" i="1"/>
  <c r="C135" i="1"/>
  <c r="C142" i="1"/>
  <c r="C143" i="1"/>
  <c r="C145" i="1"/>
  <c r="C140" i="1"/>
  <c r="H24" i="1"/>
  <c r="G25" i="1" s="1"/>
  <c r="F25" i="1"/>
  <c r="G113" i="1"/>
  <c r="C138" i="1"/>
  <c r="G27" i="1"/>
  <c r="C144" i="1"/>
  <c r="C189" i="1"/>
  <c r="C139" i="1"/>
  <c r="N130" i="1"/>
  <c r="O130" i="1"/>
  <c r="P130" i="1"/>
  <c r="N129" i="1"/>
  <c r="O129" i="1"/>
  <c r="P129" i="1"/>
  <c r="M130" i="1"/>
  <c r="M129" i="1"/>
  <c r="D143" i="1"/>
  <c r="G28" i="1"/>
  <c r="N102" i="1"/>
  <c r="M102" i="1"/>
  <c r="P88" i="1"/>
  <c r="P87" i="1"/>
  <c r="O88" i="1"/>
  <c r="N88" i="1"/>
  <c r="N87" i="1"/>
  <c r="O87" i="1"/>
  <c r="M87" i="1"/>
  <c r="M88" i="1"/>
  <c r="G121" i="1"/>
  <c r="G115" i="1"/>
  <c r="G109" i="1"/>
  <c r="G98" i="1"/>
  <c r="G84" i="1" l="1"/>
  <c r="F84" i="1"/>
  <c r="F105" i="1"/>
  <c r="G105" i="1"/>
  <c r="F81" i="1"/>
  <c r="G81" i="1"/>
  <c r="AC16" i="1"/>
  <c r="G13" i="1"/>
  <c r="D94" i="1"/>
  <c r="D92" i="1"/>
  <c r="D126" i="1"/>
  <c r="D124" i="1"/>
  <c r="D107" i="1"/>
  <c r="G111" i="1"/>
  <c r="G117" i="1"/>
  <c r="G123" i="1"/>
  <c r="G119" i="1"/>
  <c r="G78" i="1"/>
  <c r="D99" i="1"/>
  <c r="D97" i="1"/>
  <c r="D80" i="1"/>
  <c r="G106" i="1"/>
  <c r="D122" i="1"/>
  <c r="D120" i="1"/>
  <c r="D118" i="1"/>
  <c r="D116" i="1"/>
  <c r="D114" i="1"/>
  <c r="D112" i="1"/>
  <c r="D110" i="1"/>
  <c r="D108" i="1"/>
  <c r="D96" i="1"/>
  <c r="D90" i="1"/>
  <c r="D95" i="1"/>
  <c r="D93" i="1"/>
  <c r="D91" i="1"/>
  <c r="D89" i="1"/>
  <c r="D87" i="1"/>
  <c r="D85" i="1"/>
  <c r="D83" i="1"/>
  <c r="D125" i="1"/>
  <c r="G87" i="1" l="1"/>
  <c r="F87" i="1"/>
  <c r="G95" i="1"/>
  <c r="F95" i="1"/>
  <c r="G110" i="1"/>
  <c r="F110" i="1"/>
  <c r="G118" i="1"/>
  <c r="F118" i="1"/>
  <c r="G80" i="1"/>
  <c r="F80" i="1"/>
  <c r="G107" i="1"/>
  <c r="F107" i="1"/>
  <c r="F127" i="1" s="1"/>
  <c r="I106" i="1" s="1"/>
  <c r="I107" i="1" s="1"/>
  <c r="C133" i="1" s="1"/>
  <c r="G94" i="1"/>
  <c r="F94" i="1"/>
  <c r="G125" i="1"/>
  <c r="F125" i="1"/>
  <c r="F89" i="1"/>
  <c r="G89" i="1"/>
  <c r="G90" i="1"/>
  <c r="F90" i="1"/>
  <c r="G112" i="1"/>
  <c r="F112" i="1"/>
  <c r="G120" i="1"/>
  <c r="F120" i="1"/>
  <c r="G97" i="1"/>
  <c r="F97" i="1"/>
  <c r="F124" i="1"/>
  <c r="G124" i="1"/>
  <c r="F83" i="1"/>
  <c r="G83" i="1"/>
  <c r="G91" i="1"/>
  <c r="F91" i="1"/>
  <c r="F96" i="1"/>
  <c r="G96" i="1"/>
  <c r="G114" i="1"/>
  <c r="F114" i="1"/>
  <c r="G122" i="1"/>
  <c r="F122" i="1"/>
  <c r="G99" i="1"/>
  <c r="F99" i="1"/>
  <c r="G126" i="1"/>
  <c r="F126" i="1"/>
  <c r="F85" i="1"/>
  <c r="G85" i="1"/>
  <c r="G93" i="1"/>
  <c r="F93" i="1"/>
  <c r="G108" i="1"/>
  <c r="F108" i="1"/>
  <c r="G116" i="1"/>
  <c r="F116" i="1"/>
  <c r="F92" i="1"/>
  <c r="G92" i="1"/>
  <c r="C141" i="1"/>
  <c r="C132" i="1"/>
  <c r="C151" i="1"/>
  <c r="F151" i="1" l="1"/>
  <c r="F152" i="1" s="1"/>
  <c r="L26" i="1"/>
  <c r="L28" i="1" s="1"/>
  <c r="C191" i="1"/>
  <c r="F100" i="1"/>
  <c r="I79" i="1" s="1"/>
  <c r="I80" i="1" s="1"/>
  <c r="F132" i="1"/>
  <c r="F133" i="1" s="1"/>
  <c r="C155" i="1" l="1"/>
  <c r="C162" i="1"/>
  <c r="F161" i="1" s="1"/>
  <c r="F162" i="1" s="1"/>
  <c r="D68" i="1"/>
  <c r="F68" i="1" s="1"/>
  <c r="F189" i="1"/>
  <c r="D65" i="1"/>
  <c r="F65" i="1" s="1"/>
  <c r="F135" i="1"/>
  <c r="F154" i="1"/>
  <c r="D66" i="1"/>
  <c r="F66" i="1" s="1"/>
  <c r="F164" i="1" l="1"/>
  <c r="B60" i="1" s="1"/>
  <c r="D67" i="1"/>
  <c r="F67" i="1" s="1"/>
</calcChain>
</file>

<file path=xl/sharedStrings.xml><?xml version="1.0" encoding="utf-8"?>
<sst xmlns="http://schemas.openxmlformats.org/spreadsheetml/2006/main" count="443" uniqueCount="245">
  <si>
    <t>Created By: Kristen Balogh</t>
  </si>
  <si>
    <t>April, 2014</t>
  </si>
  <si>
    <t>Materials</t>
  </si>
  <si>
    <t>Species</t>
  </si>
  <si>
    <t>Grade</t>
  </si>
  <si>
    <t>System Effect</t>
  </si>
  <si>
    <t>Service Condition</t>
  </si>
  <si>
    <t>Treatment</t>
  </si>
  <si>
    <t>D Fir-L</t>
  </si>
  <si>
    <t>Hem-Fir</t>
  </si>
  <si>
    <t>S-P-F</t>
  </si>
  <si>
    <t>Northern</t>
  </si>
  <si>
    <t>Stud</t>
  </si>
  <si>
    <t>Select Structural</t>
  </si>
  <si>
    <t>Construction</t>
  </si>
  <si>
    <t>Standard</t>
  </si>
  <si>
    <t xml:space="preserve">Select </t>
  </si>
  <si>
    <t>Commercial</t>
  </si>
  <si>
    <t>3 in Mutual Support &lt; 610 mm apart</t>
  </si>
  <si>
    <t>No Mutual Support</t>
  </si>
  <si>
    <t>Dry</t>
  </si>
  <si>
    <t>Wet</t>
  </si>
  <si>
    <t>None</t>
  </si>
  <si>
    <t>Treatment Unincised</t>
  </si>
  <si>
    <t>Treatment Incised</t>
  </si>
  <si>
    <t>Other (incl. Fire Retardant)</t>
  </si>
  <si>
    <t>Grade Category -&gt;</t>
  </si>
  <si>
    <t>Table 5.3.1A 2,3,4,7</t>
  </si>
  <si>
    <t>Table 5.3.1B 1</t>
  </si>
  <si>
    <t>Table 5.3.1C 5</t>
  </si>
  <si>
    <t>Table 5.3.1D 6</t>
  </si>
  <si>
    <t>Species -&gt;</t>
  </si>
  <si>
    <t>No. 1</t>
  </si>
  <si>
    <t>No. 2</t>
  </si>
  <si>
    <t>No. 3</t>
  </si>
  <si>
    <t>Select</t>
  </si>
  <si>
    <t>Geometry and Connection</t>
  </si>
  <si>
    <t>Width b=</t>
  </si>
  <si>
    <t>Depth d=</t>
  </si>
  <si>
    <t>Notch Length e=</t>
  </si>
  <si>
    <t>Notch Depth dn=</t>
  </si>
  <si>
    <t>mm</t>
  </si>
  <si>
    <t>Smaller</t>
  </si>
  <si>
    <t>Larger</t>
  </si>
  <si>
    <t>Diff</t>
  </si>
  <si>
    <t>Cat</t>
  </si>
  <si>
    <t>Table</t>
  </si>
  <si>
    <t>Grade Lookup</t>
  </si>
  <si>
    <t>Grade Categories</t>
  </si>
  <si>
    <t>INDEX</t>
  </si>
  <si>
    <t>Light Framing</t>
  </si>
  <si>
    <t>Plank Decking</t>
  </si>
  <si>
    <t>Category =</t>
  </si>
  <si>
    <t>Structural Light Framing</t>
  </si>
  <si>
    <t>Structural Joists and Planks</t>
  </si>
  <si>
    <t>Beam and Stringer</t>
  </si>
  <si>
    <t>Post and Timber</t>
  </si>
  <si>
    <t>For EDUCATIONAL PURPOSES ONLY - Not for use as a design aid</t>
  </si>
  <si>
    <t>INPUT VALUES</t>
  </si>
  <si>
    <t>RESULTS</t>
  </si>
  <si>
    <t>Loads</t>
  </si>
  <si>
    <t>Dead (D)</t>
  </si>
  <si>
    <t>Live (L)</t>
  </si>
  <si>
    <t>Snow (S)</t>
  </si>
  <si>
    <t>Wind (W)</t>
  </si>
  <si>
    <t>Earthquake (E)</t>
  </si>
  <si>
    <t>Design of Simply Supported Lumber Beam with a Sloped Notch at the Support</t>
  </si>
  <si>
    <t>kN</t>
  </si>
  <si>
    <t>INTERMEDIATE WORK</t>
  </si>
  <si>
    <t>Load Combinations (ULS)</t>
  </si>
  <si>
    <t>Combination</t>
  </si>
  <si>
    <t>1.4D</t>
  </si>
  <si>
    <t>2a</t>
  </si>
  <si>
    <t>1.25D + 1.5L</t>
  </si>
  <si>
    <t>2b</t>
  </si>
  <si>
    <t>1.25D + 1.5L + 0.5S</t>
  </si>
  <si>
    <t>2c</t>
  </si>
  <si>
    <t>1.25D + 1.5L + 0.4W</t>
  </si>
  <si>
    <t>2d</t>
  </si>
  <si>
    <t>0.9D + 1.5L</t>
  </si>
  <si>
    <t>2e</t>
  </si>
  <si>
    <t>0.9D + 1.5L + 0.5S</t>
  </si>
  <si>
    <t>2f</t>
  </si>
  <si>
    <t>0.9D + 1.5L + 0.4W</t>
  </si>
  <si>
    <t>3a</t>
  </si>
  <si>
    <t>1.25D + 1.5S</t>
  </si>
  <si>
    <t>3b</t>
  </si>
  <si>
    <t>1.25D + 1.5S + 0.5L</t>
  </si>
  <si>
    <t>3c</t>
  </si>
  <si>
    <t>1.25D + 1.5S + 0.4W</t>
  </si>
  <si>
    <t>3d</t>
  </si>
  <si>
    <t>0.9D + 1.5S</t>
  </si>
  <si>
    <t>3e</t>
  </si>
  <si>
    <t>0.9D + 1.5S + 0.5L</t>
  </si>
  <si>
    <t>3f</t>
  </si>
  <si>
    <t>0.9D + 1.5S + 0.4W</t>
  </si>
  <si>
    <t>4a</t>
  </si>
  <si>
    <t>1.25D + 1.4W</t>
  </si>
  <si>
    <t>4b</t>
  </si>
  <si>
    <t>1.25D + 1.4W + 0.5L</t>
  </si>
  <si>
    <t>4c</t>
  </si>
  <si>
    <t>1.25D + 1.4W + 0.5S</t>
  </si>
  <si>
    <t>4d</t>
  </si>
  <si>
    <t>0.9D + 1.4W</t>
  </si>
  <si>
    <t>4e</t>
  </si>
  <si>
    <t>0.9D + 1.4W + 0.5L</t>
  </si>
  <si>
    <t>4f</t>
  </si>
  <si>
    <t>0.9D + 1.4W + 0.5S</t>
  </si>
  <si>
    <t>5a</t>
  </si>
  <si>
    <t>1.0D + 1.0E</t>
  </si>
  <si>
    <t>5b</t>
  </si>
  <si>
    <t>1.0D + 1.0E + 0.5L</t>
  </si>
  <si>
    <t>5c</t>
  </si>
  <si>
    <t>1.0D + 1.0E + 0.25S</t>
  </si>
  <si>
    <t>Maximum</t>
  </si>
  <si>
    <t>Fact. Load (kN)</t>
  </si>
  <si>
    <t>Length L=</t>
  </si>
  <si>
    <t>Length a=</t>
  </si>
  <si>
    <t>Length c=</t>
  </si>
  <si>
    <t>Shear</t>
  </si>
  <si>
    <t>Factored Shear=</t>
  </si>
  <si>
    <t>Moment</t>
  </si>
  <si>
    <t>Maximum Shear (kN)</t>
  </si>
  <si>
    <t>Maximum Moment (kN m)</t>
  </si>
  <si>
    <t>Bending Moment Resistance</t>
  </si>
  <si>
    <t>Fb</t>
  </si>
  <si>
    <t>Fv</t>
  </si>
  <si>
    <t>Kzb, Kzv</t>
  </si>
  <si>
    <t>Larger Dim</t>
  </si>
  <si>
    <t>38-64</t>
  </si>
  <si>
    <t>Smaller Dimension</t>
  </si>
  <si>
    <t>89-102</t>
  </si>
  <si>
    <t>114+</t>
  </si>
  <si>
    <t>184-191</t>
  </si>
  <si>
    <t>235-241</t>
  </si>
  <si>
    <t>286-292</t>
  </si>
  <si>
    <t>337-343</t>
  </si>
  <si>
    <t>387+</t>
  </si>
  <si>
    <t>E=</t>
  </si>
  <si>
    <t>E</t>
  </si>
  <si>
    <t>S=</t>
  </si>
  <si>
    <t>kN m</t>
  </si>
  <si>
    <t>Shear Resistance</t>
  </si>
  <si>
    <t>Factored Moment=</t>
  </si>
  <si>
    <t>Notch Shear Resistance</t>
  </si>
  <si>
    <t>Deflection</t>
  </si>
  <si>
    <t>I=</t>
  </si>
  <si>
    <t>1.0D</t>
  </si>
  <si>
    <t>1.0D+1.0L</t>
  </si>
  <si>
    <t>1.0D+1.0L+0.5S</t>
  </si>
  <si>
    <t>1.0D+1.0L+0.4W</t>
  </si>
  <si>
    <t>1.0D+1.0S</t>
  </si>
  <si>
    <t>1.0D+1.0S+0.4W</t>
  </si>
  <si>
    <t>1.0D+1.0W</t>
  </si>
  <si>
    <t>1.0D+1.0W+0.5L</t>
  </si>
  <si>
    <t>1.0D+1.0W+0.5S</t>
  </si>
  <si>
    <t>x=</t>
  </si>
  <si>
    <t>Max Deflection=</t>
  </si>
  <si>
    <t>Limit=</t>
  </si>
  <si>
    <t>Type</t>
  </si>
  <si>
    <t>Type=</t>
  </si>
  <si>
    <t>Plastered or Gypsum Ceilings</t>
  </si>
  <si>
    <t>Roofs</t>
  </si>
  <si>
    <t>Floors</t>
  </si>
  <si>
    <t>Roofs and Floors</t>
  </si>
  <si>
    <t>Shear at 1</t>
  </si>
  <si>
    <t>Es</t>
  </si>
  <si>
    <t>EsI</t>
  </si>
  <si>
    <t>REFERENCES</t>
  </si>
  <si>
    <r>
      <t xml:space="preserve">Canadian Standards Association (CSA) (2010) </t>
    </r>
    <r>
      <rPr>
        <i/>
        <sz val="12"/>
        <color theme="1"/>
        <rFont val="Calibri"/>
        <family val="2"/>
        <scheme val="minor"/>
      </rPr>
      <t>O86-09 Engineering design in wood (with Update No.1).</t>
    </r>
    <r>
      <rPr>
        <sz val="12"/>
        <color theme="1"/>
        <rFont val="Calibri"/>
        <family val="2"/>
        <scheme val="minor"/>
      </rPr>
      <t xml:space="preserve"> Mississauga, ON: Canadian Standards Association</t>
    </r>
  </si>
  <si>
    <r>
      <t xml:space="preserve">Erochko, Jeffrey. </t>
    </r>
    <r>
      <rPr>
        <i/>
        <sz val="12"/>
        <color theme="1"/>
        <rFont val="Calibri"/>
        <family val="2"/>
        <scheme val="minor"/>
      </rPr>
      <t>Term Project - Example Page Design Lumber for Tension</t>
    </r>
    <r>
      <rPr>
        <sz val="12"/>
        <color theme="1"/>
        <rFont val="Calibri"/>
        <family val="2"/>
        <scheme val="minor"/>
      </rPr>
      <t>. Feb. 2014. Excel File</t>
    </r>
  </si>
  <si>
    <t>Fact. Load (kN m)</t>
  </si>
  <si>
    <t>1.0D+1.0S+0.5L</t>
  </si>
  <si>
    <t>(Usually these members &lt;4:1 ratio)</t>
  </si>
  <si>
    <t>a</t>
  </si>
  <si>
    <t>b</t>
  </si>
  <si>
    <r>
      <t>Gross Area A</t>
    </r>
    <r>
      <rPr>
        <b/>
        <vertAlign val="subscript"/>
        <sz val="12"/>
        <color theme="1"/>
        <rFont val="Calibri"/>
        <family val="2"/>
        <scheme val="minor"/>
      </rPr>
      <t>g</t>
    </r>
    <r>
      <rPr>
        <b/>
        <sz val="12"/>
        <color theme="1"/>
        <rFont val="Calibri"/>
        <family val="2"/>
        <scheme val="minor"/>
      </rPr>
      <t>=</t>
    </r>
  </si>
  <si>
    <r>
      <t>Net Section A</t>
    </r>
    <r>
      <rPr>
        <b/>
        <vertAlign val="subscript"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>=</t>
    </r>
  </si>
  <si>
    <r>
      <t>A</t>
    </r>
    <r>
      <rPr>
        <b/>
        <vertAlign val="subscript"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>/A</t>
    </r>
    <r>
      <rPr>
        <b/>
        <vertAlign val="subscript"/>
        <sz val="12"/>
        <color theme="1"/>
        <rFont val="Calibri"/>
        <family val="2"/>
        <scheme val="minor"/>
      </rPr>
      <t>g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</si>
  <si>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D</t>
    </r>
  </si>
  <si>
    <r>
      <t>Load/K</t>
    </r>
    <r>
      <rPr>
        <b/>
        <vertAlign val="subscript"/>
        <sz val="12"/>
        <color theme="1"/>
        <rFont val="Calibri"/>
        <family val="2"/>
        <scheme val="minor"/>
      </rPr>
      <t>D</t>
    </r>
  </si>
  <si>
    <r>
      <t>K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</si>
  <si>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rgb="FF000000"/>
        <rFont val="Calibri"/>
        <family val="2"/>
        <scheme val="minor"/>
      </rPr>
      <t>D</t>
    </r>
  </si>
  <si>
    <r>
      <t>Load/K</t>
    </r>
    <r>
      <rPr>
        <b/>
        <vertAlign val="subscript"/>
        <sz val="12"/>
        <color rgb="FF000000"/>
        <rFont val="Calibri"/>
        <family val="2"/>
        <scheme val="minor"/>
      </rPr>
      <t>D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</si>
  <si>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</si>
  <si>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D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</si>
  <si>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H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</si>
  <si>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sb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</si>
  <si>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</si>
  <si>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zb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</si>
  <si>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SE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</si>
  <si>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X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</si>
  <si>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=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</si>
  <si>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k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</si>
  <si>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L</t>
    </r>
    <r>
      <rPr>
        <b/>
        <sz val="12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</si>
  <si>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v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</si>
  <si>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sv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</si>
  <si>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zv</t>
    </r>
    <r>
      <rPr>
        <b/>
        <sz val="12"/>
        <color theme="1"/>
        <rFont val="Calibri"/>
        <family val="2"/>
        <scheme val="minor"/>
      </rPr>
      <t>=</t>
    </r>
  </si>
  <si>
    <r>
      <t>A</t>
    </r>
    <r>
      <rPr>
        <b/>
        <vertAlign val="subscript"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</si>
  <si>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v</t>
    </r>
    <r>
      <rPr>
        <b/>
        <sz val="12"/>
        <color theme="1"/>
        <rFont val="Calibri"/>
        <family val="2"/>
        <scheme val="minor"/>
      </rPr>
      <t>=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</si>
  <si>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r</t>
    </r>
    <r>
      <rPr>
        <b/>
        <sz val="12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</si>
  <si>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f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</si>
  <si>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sf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</si>
  <si>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>=</t>
    </r>
  </si>
  <si>
    <t>α=</t>
  </si>
  <si>
    <t>η=</t>
  </si>
  <si>
    <r>
      <t>A</t>
    </r>
    <r>
      <rPr>
        <b/>
        <vertAlign val="subscript"/>
        <sz val="12"/>
        <color theme="1"/>
        <rFont val="Calibri"/>
        <family val="2"/>
        <scheme val="minor"/>
      </rPr>
      <t>g</t>
    </r>
    <r>
      <rPr>
        <b/>
        <sz val="12"/>
        <color theme="1"/>
        <rFont val="Calibri"/>
        <family val="2"/>
        <scheme val="minor"/>
      </rPr>
      <t>=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</si>
  <si>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</si>
  <si>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4</t>
    </r>
  </si>
  <si>
    <t>Table 5.2.2.1</t>
  </si>
  <si>
    <t>§4.3.8.1</t>
  </si>
  <si>
    <t>Table 4.2.4.1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</si>
  <si>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=</t>
    </r>
  </si>
  <si>
    <r>
      <t>M</t>
    </r>
    <r>
      <rPr>
        <b/>
        <vertAlign val="subscript"/>
        <sz val="12"/>
        <color theme="1"/>
        <rFont val="Calibri"/>
        <family val="2"/>
        <scheme val="minor"/>
      </rPr>
      <t>r</t>
    </r>
    <r>
      <rPr>
        <b/>
        <sz val="12"/>
        <color theme="1"/>
        <rFont val="Calibri"/>
        <family val="2"/>
        <scheme val="minor"/>
      </rPr>
      <t>=</t>
    </r>
  </si>
  <si>
    <t>Table 4.3.2.2</t>
  </si>
  <si>
    <t>Table 5.4.4</t>
  </si>
  <si>
    <t>Table 5.4.2</t>
  </si>
  <si>
    <t>Table 5.4.3</t>
  </si>
  <si>
    <t>Table 5.4.5</t>
  </si>
  <si>
    <t>§6.5.6.5.2</t>
  </si>
  <si>
    <r>
      <t>mm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                              </t>
    </r>
    <r>
      <rPr>
        <sz val="12"/>
        <color rgb="FF660066"/>
        <rFont val="Calibri"/>
        <family val="2"/>
        <scheme val="minor"/>
      </rPr>
      <t xml:space="preserve"> </t>
    </r>
  </si>
  <si>
    <r>
      <t xml:space="preserve">MPa                               </t>
    </r>
    <r>
      <rPr>
        <sz val="12"/>
        <color rgb="FF660066"/>
        <rFont val="Calibri"/>
        <family val="2"/>
        <scheme val="minor"/>
      </rPr>
      <t xml:space="preserve"> Table 5.3.1A-D</t>
    </r>
  </si>
  <si>
    <r>
      <t>L</t>
    </r>
    <r>
      <rPr>
        <b/>
        <vertAlign val="sub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>=</t>
    </r>
  </si>
  <si>
    <r>
      <t xml:space="preserve">mm                                 </t>
    </r>
    <r>
      <rPr>
        <sz val="12"/>
        <color rgb="FF660066"/>
        <rFont val="Calibri"/>
        <family val="2"/>
        <scheme val="minor"/>
      </rPr>
      <t>Table 6.5.6.4.3</t>
    </r>
  </si>
  <si>
    <r>
      <t xml:space="preserve">MPa                                </t>
    </r>
    <r>
      <rPr>
        <sz val="12"/>
        <color rgb="FF660066"/>
        <rFont val="Calibri"/>
        <family val="2"/>
        <scheme val="minor"/>
      </rPr>
      <t>Table 5.3.1A-D</t>
    </r>
  </si>
  <si>
    <r>
      <t xml:space="preserve">MPa                                            </t>
    </r>
    <r>
      <rPr>
        <sz val="12"/>
        <color rgb="FF660066"/>
        <rFont val="Calibri"/>
        <family val="2"/>
        <scheme val="minor"/>
      </rPr>
      <t>§5.5.5.3</t>
    </r>
  </si>
  <si>
    <t>§5.5.5.4</t>
  </si>
  <si>
    <r>
      <t xml:space="preserve">MPa                          </t>
    </r>
    <r>
      <rPr>
        <sz val="12"/>
        <color rgb="FF660066"/>
        <rFont val="Calibri"/>
        <family val="2"/>
        <scheme val="minor"/>
      </rPr>
      <t>§5.5.4.1</t>
    </r>
  </si>
  <si>
    <r>
      <t xml:space="preserve">kN m                         </t>
    </r>
    <r>
      <rPr>
        <sz val="12"/>
        <color rgb="FF660066"/>
        <rFont val="Calibri"/>
        <family val="2"/>
        <scheme val="minor"/>
      </rPr>
      <t>§5.5.4.1</t>
    </r>
  </si>
  <si>
    <r>
      <t xml:space="preserve">MPa                          </t>
    </r>
    <r>
      <rPr>
        <sz val="12"/>
        <color rgb="FF660066"/>
        <rFont val="Calibri"/>
        <family val="2"/>
        <scheme val="minor"/>
      </rPr>
      <t>§5.5.5.1</t>
    </r>
  </si>
  <si>
    <r>
      <t xml:space="preserve">kN                            </t>
    </r>
    <r>
      <rPr>
        <sz val="12"/>
        <color rgb="FF660066"/>
        <rFont val="Calibri"/>
        <family val="2"/>
        <scheme val="minor"/>
      </rPr>
      <t xml:space="preserve"> §5.5.5.1</t>
    </r>
  </si>
  <si>
    <r>
      <t xml:space="preserve">MPa                          </t>
    </r>
    <r>
      <rPr>
        <sz val="12"/>
        <color rgb="FF660066"/>
        <rFont val="Calibri"/>
        <family val="2"/>
        <scheme val="minor"/>
      </rPr>
      <t>§5.5.5.3</t>
    </r>
  </si>
  <si>
    <r>
      <t xml:space="preserve">kN                             </t>
    </r>
    <r>
      <rPr>
        <sz val="12"/>
        <color rgb="FF660066"/>
        <rFont val="Calibri"/>
        <family val="2"/>
        <scheme val="minor"/>
      </rPr>
      <t>§5.5.5.3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</si>
  <si>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f</t>
    </r>
    <r>
      <rPr>
        <b/>
        <sz val="12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</si>
  <si>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r</t>
    </r>
    <r>
      <rPr>
        <b/>
        <sz val="12"/>
        <color theme="1"/>
        <rFont val="Calibri"/>
        <family val="2"/>
        <scheme val="minor"/>
      </rPr>
      <t>=</t>
    </r>
  </si>
  <si>
    <r>
      <t xml:space="preserve">SLS    </t>
    </r>
    <r>
      <rPr>
        <sz val="12"/>
        <color rgb="FF660066"/>
        <rFont val="Calibri"/>
        <family val="2"/>
        <scheme val="minor"/>
      </rPr>
      <t>Table 4.2.4.2</t>
    </r>
  </si>
  <si>
    <t>*See Bending Members Table for assistance</t>
  </si>
  <si>
    <r>
      <t>mm</t>
    </r>
    <r>
      <rPr>
        <vertAlign val="superscript"/>
        <sz val="12"/>
        <color theme="1"/>
        <rFont val="Calibri"/>
        <family val="2"/>
        <scheme val="minor"/>
      </rPr>
      <t xml:space="preserve">2                                                                           </t>
    </r>
    <r>
      <rPr>
        <sz val="12"/>
        <color rgb="FF660066"/>
        <rFont val="Calibri"/>
        <family val="2"/>
        <scheme val="minor"/>
      </rPr>
      <t>§4.3.8.1</t>
    </r>
  </si>
  <si>
    <r>
      <t xml:space="preserve">                                                    </t>
    </r>
    <r>
      <rPr>
        <sz val="12"/>
        <color rgb="FF660066"/>
        <rFont val="Calibri"/>
        <family val="2"/>
        <scheme val="minor"/>
      </rPr>
      <t>§5.5.5.3</t>
    </r>
  </si>
  <si>
    <t>Carleton University, Ottawa, Ontario, Canada</t>
  </si>
  <si>
    <t>d</t>
  </si>
  <si>
    <t xml:space="preserve">Shear Resistance = </t>
  </si>
  <si>
    <t>Notch Shear Resistance=</t>
  </si>
  <si>
    <t>Deflection=</t>
  </si>
  <si>
    <t>Bending Moment Resistance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</si>
</sst>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66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5" fillId="0" borderId="0" xfId="0" applyFont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right"/>
    </xf>
    <xf numFmtId="0" fontId="0" fillId="0" borderId="0" xfId="0" applyBorder="1"/>
    <xf numFmtId="0" fontId="0" fillId="0" borderId="23" xfId="0" applyBorder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2" fillId="0" borderId="8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9" xfId="0" applyFont="1" applyBorder="1"/>
    <xf numFmtId="0" fontId="12" fillId="0" borderId="1" xfId="0" applyFont="1" applyBorder="1"/>
    <xf numFmtId="0" fontId="12" fillId="0" borderId="20" xfId="0" applyFont="1" applyBorder="1"/>
    <xf numFmtId="2" fontId="0" fillId="0" borderId="0" xfId="0" applyNumberFormat="1"/>
    <xf numFmtId="0" fontId="2" fillId="0" borderId="29" xfId="0" applyFont="1" applyBorder="1" applyAlignment="1">
      <alignment horizontal="right"/>
    </xf>
    <xf numFmtId="0" fontId="0" fillId="0" borderId="32" xfId="0" applyBorder="1"/>
    <xf numFmtId="2" fontId="0" fillId="0" borderId="32" xfId="0" applyNumberFormat="1" applyBorder="1"/>
    <xf numFmtId="0" fontId="0" fillId="0" borderId="33" xfId="0" applyBorder="1"/>
    <xf numFmtId="0" fontId="2" fillId="0" borderId="34" xfId="0" applyFont="1" applyBorder="1"/>
    <xf numFmtId="0" fontId="2" fillId="0" borderId="36" xfId="0" applyFont="1" applyBorder="1" applyAlignment="1">
      <alignment horizontal="left"/>
    </xf>
    <xf numFmtId="0" fontId="0" fillId="0" borderId="37" xfId="0" applyBorder="1"/>
    <xf numFmtId="0" fontId="2" fillId="0" borderId="36" xfId="0" applyFont="1" applyBorder="1"/>
    <xf numFmtId="2" fontId="0" fillId="0" borderId="38" xfId="0" applyNumberFormat="1" applyBorder="1"/>
    <xf numFmtId="0" fontId="2" fillId="0" borderId="35" xfId="0" applyFont="1" applyFill="1" applyBorder="1"/>
    <xf numFmtId="2" fontId="0" fillId="0" borderId="37" xfId="0" applyNumberFormat="1" applyBorder="1"/>
    <xf numFmtId="2" fontId="6" fillId="0" borderId="0" xfId="0" applyNumberFormat="1" applyFont="1" applyBorder="1"/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4" xfId="0" applyBorder="1"/>
    <xf numFmtId="0" fontId="0" fillId="0" borderId="11" xfId="0" applyFill="1" applyBorder="1"/>
    <xf numFmtId="0" fontId="0" fillId="0" borderId="13" xfId="0" applyFill="1" applyBorder="1"/>
    <xf numFmtId="0" fontId="12" fillId="0" borderId="33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 applyAlignment="1">
      <alignment horizontal="left"/>
    </xf>
    <xf numFmtId="0" fontId="12" fillId="0" borderId="7" xfId="0" applyFont="1" applyBorder="1"/>
    <xf numFmtId="2" fontId="12" fillId="0" borderId="25" xfId="0" applyNumberFormat="1" applyFont="1" applyBorder="1"/>
    <xf numFmtId="0" fontId="13" fillId="0" borderId="43" xfId="0" applyFont="1" applyBorder="1"/>
    <xf numFmtId="0" fontId="0" fillId="0" borderId="35" xfId="0" applyBorder="1"/>
    <xf numFmtId="0" fontId="0" fillId="0" borderId="36" xfId="0" applyBorder="1"/>
    <xf numFmtId="0" fontId="0" fillId="0" borderId="40" xfId="0" applyBorder="1"/>
    <xf numFmtId="0" fontId="0" fillId="0" borderId="38" xfId="0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5" fillId="0" borderId="0" xfId="0" applyFont="1" applyAlignment="1"/>
    <xf numFmtId="0" fontId="5" fillId="0" borderId="8" xfId="0" applyFont="1" applyBorder="1" applyAlignment="1"/>
    <xf numFmtId="0" fontId="5" fillId="0" borderId="23" xfId="0" applyFont="1" applyBorder="1" applyAlignment="1"/>
    <xf numFmtId="0" fontId="5" fillId="0" borderId="19" xfId="0" applyFont="1" applyBorder="1" applyAlignment="1"/>
    <xf numFmtId="0" fontId="5" fillId="0" borderId="9" xfId="0" applyFont="1" applyBorder="1" applyAlignment="1"/>
    <xf numFmtId="0" fontId="5" fillId="0" borderId="45" xfId="0" applyFont="1" applyBorder="1"/>
    <xf numFmtId="164" fontId="5" fillId="0" borderId="46" xfId="0" applyNumberFormat="1" applyFont="1" applyBorder="1" applyAlignment="1">
      <alignment horizontal="right"/>
    </xf>
    <xf numFmtId="0" fontId="5" fillId="0" borderId="10" xfId="0" applyFont="1" applyBorder="1"/>
    <xf numFmtId="164" fontId="5" fillId="0" borderId="11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164" fontId="5" fillId="0" borderId="24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5" fillId="0" borderId="24" xfId="0" applyFont="1" applyBorder="1"/>
    <xf numFmtId="0" fontId="5" fillId="0" borderId="13" xfId="0" applyFont="1" applyBorder="1"/>
    <xf numFmtId="0" fontId="5" fillId="0" borderId="47" xfId="0" applyFont="1" applyBorder="1" applyAlignment="1"/>
    <xf numFmtId="164" fontId="5" fillId="0" borderId="48" xfId="0" applyNumberFormat="1" applyFont="1" applyBorder="1" applyAlignment="1">
      <alignment horizontal="right"/>
    </xf>
    <xf numFmtId="0" fontId="5" fillId="0" borderId="48" xfId="0" applyFont="1" applyBorder="1"/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20" xfId="0" applyFont="1" applyBorder="1"/>
    <xf numFmtId="2" fontId="0" fillId="0" borderId="19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20" xfId="0" applyNumberFormat="1" applyBorder="1"/>
    <xf numFmtId="2" fontId="12" fillId="0" borderId="0" xfId="0" applyNumberFormat="1" applyFont="1" applyBorder="1"/>
    <xf numFmtId="2" fontId="12" fillId="0" borderId="28" xfId="0" applyNumberFormat="1" applyFont="1" applyBorder="1" applyAlignment="1"/>
    <xf numFmtId="11" fontId="5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8" fillId="0" borderId="0" xfId="0" applyFont="1"/>
    <xf numFmtId="0" fontId="8" fillId="0" borderId="24" xfId="0" applyFont="1" applyBorder="1"/>
    <xf numFmtId="0" fontId="20" fillId="0" borderId="0" xfId="0" applyFont="1"/>
    <xf numFmtId="165" fontId="0" fillId="0" borderId="1" xfId="0" applyNumberFormat="1" applyBorder="1"/>
    <xf numFmtId="0" fontId="27" fillId="0" borderId="0" xfId="0" applyFont="1"/>
    <xf numFmtId="0" fontId="2" fillId="0" borderId="28" xfId="0" applyFont="1" applyBorder="1" applyAlignment="1"/>
    <xf numFmtId="0" fontId="2" fillId="0" borderId="26" xfId="0" applyFont="1" applyBorder="1" applyAlignment="1">
      <alignment horizontal="right"/>
    </xf>
    <xf numFmtId="0" fontId="27" fillId="0" borderId="27" xfId="0" applyFont="1" applyBorder="1" applyAlignment="1"/>
    <xf numFmtId="0" fontId="27" fillId="0" borderId="11" xfId="0" applyFont="1" applyBorder="1" applyAlignment="1">
      <alignment horizontal="right"/>
    </xf>
    <xf numFmtId="0" fontId="12" fillId="0" borderId="9" xfId="0" applyFont="1" applyBorder="1"/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3" xfId="0" applyFont="1" applyBorder="1" applyAlignment="1">
      <alignment horizontal="right"/>
    </xf>
    <xf numFmtId="0" fontId="0" fillId="0" borderId="11" xfId="0" applyBorder="1" applyAlignment="1">
      <alignment vertical="center"/>
    </xf>
    <xf numFmtId="0" fontId="7" fillId="0" borderId="49" xfId="0" applyFont="1" applyBorder="1"/>
    <xf numFmtId="0" fontId="0" fillId="0" borderId="49" xfId="0" applyBorder="1"/>
    <xf numFmtId="0" fontId="20" fillId="0" borderId="49" xfId="0" applyFont="1" applyBorder="1"/>
    <xf numFmtId="0" fontId="0" fillId="0" borderId="49" xfId="0" applyBorder="1" applyAlignment="1">
      <alignment horizontal="right"/>
    </xf>
    <xf numFmtId="0" fontId="15" fillId="0" borderId="49" xfId="0" applyFont="1" applyBorder="1"/>
    <xf numFmtId="0" fontId="15" fillId="0" borderId="49" xfId="0" applyFont="1" applyBorder="1" applyAlignment="1">
      <alignment horizontal="left"/>
    </xf>
    <xf numFmtId="2" fontId="0" fillId="0" borderId="49" xfId="0" applyNumberFormat="1" applyBorder="1"/>
    <xf numFmtId="166" fontId="0" fillId="0" borderId="19" xfId="0" applyNumberFormat="1" applyBorder="1"/>
    <xf numFmtId="0" fontId="27" fillId="0" borderId="11" xfId="0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wrapText="1"/>
    </xf>
    <xf numFmtId="0" fontId="20" fillId="0" borderId="8" xfId="0" applyFont="1" applyBorder="1" applyAlignment="1">
      <alignment horizontal="right"/>
    </xf>
    <xf numFmtId="2" fontId="20" fillId="0" borderId="19" xfId="0" applyNumberFormat="1" applyFont="1" applyBorder="1"/>
    <xf numFmtId="0" fontId="20" fillId="0" borderId="9" xfId="0" applyFont="1" applyBorder="1"/>
    <xf numFmtId="0" fontId="20" fillId="0" borderId="10" xfId="0" applyFont="1" applyBorder="1" applyAlignment="1">
      <alignment horizontal="right"/>
    </xf>
    <xf numFmtId="2" fontId="20" fillId="0" borderId="1" xfId="0" applyNumberFormat="1" applyFont="1" applyBorder="1"/>
    <xf numFmtId="0" fontId="20" fillId="0" borderId="11" xfId="0" applyFont="1" applyBorder="1"/>
    <xf numFmtId="0" fontId="20" fillId="0" borderId="12" xfId="0" applyFont="1" applyBorder="1" applyAlignment="1">
      <alignment horizontal="right"/>
    </xf>
    <xf numFmtId="165" fontId="20" fillId="0" borderId="20" xfId="0" applyNumberFormat="1" applyFont="1" applyBorder="1"/>
    <xf numFmtId="0" fontId="20" fillId="0" borderId="13" xfId="0" applyFont="1" applyBorder="1"/>
    <xf numFmtId="0" fontId="7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30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12" fillId="0" borderId="26" xfId="0" applyNumberFormat="1" applyFont="1" applyBorder="1" applyAlignment="1">
      <alignment horizontal="right"/>
    </xf>
    <xf numFmtId="2" fontId="12" fillId="0" borderId="27" xfId="0" applyNumberFormat="1" applyFont="1" applyBorder="1" applyAlignment="1">
      <alignment horizontal="right"/>
    </xf>
    <xf numFmtId="2" fontId="12" fillId="0" borderId="44" xfId="0" applyNumberFormat="1" applyFont="1" applyBorder="1" applyAlignment="1">
      <alignment horizontal="right"/>
    </xf>
    <xf numFmtId="2" fontId="12" fillId="0" borderId="39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18" xfId="0" applyBorder="1" applyAlignment="1">
      <alignment horizontal="center"/>
    </xf>
  </cellXfs>
  <cellStyles count="10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  <cellStyle name="Percent" xfId="1" builtinId="5"/>
  </cellStyles>
  <dxfs count="22"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9C0006"/>
      </font>
    </dxf>
    <dxf>
      <font>
        <color rgb="FF008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122948</xdr:colOff>
      <xdr:row>28</xdr:row>
      <xdr:rowOff>72718</xdr:rowOff>
    </xdr:from>
    <xdr:to>
      <xdr:col>6</xdr:col>
      <xdr:colOff>1334211</xdr:colOff>
      <xdr:row>46</xdr:row>
      <xdr:rowOff>215900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4948" y="6359218"/>
          <a:ext cx="8615363" cy="3876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1"/>
  <sheetViews>
    <sheetView showGridLines="0" tabSelected="1" workbookViewId="0">
      <selection activeCell="B5" sqref="B5"/>
    </sheetView>
  </sheetViews>
  <sheetFormatPr defaultColWidth="11" defaultRowHeight="15.75" x14ac:dyDescent="0.25"/>
  <cols>
    <col min="2" max="2" width="15.875" customWidth="1"/>
    <col min="3" max="3" width="34.375" customWidth="1"/>
    <col min="4" max="4" width="30.875" customWidth="1"/>
    <col min="5" max="5" width="11" customWidth="1"/>
    <col min="6" max="6" width="21" customWidth="1"/>
    <col min="7" max="7" width="22.875" customWidth="1"/>
    <col min="8" max="8" width="18.125" customWidth="1"/>
    <col min="9" max="9" width="13.375" customWidth="1"/>
    <col min="12" max="12" width="18.5" hidden="1" customWidth="1"/>
    <col min="13" max="14" width="14" hidden="1" customWidth="1"/>
    <col min="15" max="19" width="10.875" hidden="1" customWidth="1"/>
    <col min="20" max="20" width="20" hidden="1" customWidth="1"/>
    <col min="21" max="26" width="10.875" hidden="1" customWidth="1"/>
    <col min="27" max="28" width="14.125" hidden="1" customWidth="1"/>
    <col min="29" max="29" width="10.875" hidden="1" customWidth="1"/>
  </cols>
  <sheetData>
    <row r="1" spans="1:30" ht="28.5" x14ac:dyDescent="0.45">
      <c r="A1" s="104" t="s">
        <v>66</v>
      </c>
    </row>
    <row r="2" spans="1:30" ht="21" x14ac:dyDescent="0.35">
      <c r="A2" s="31" t="s">
        <v>0</v>
      </c>
    </row>
    <row r="3" spans="1:30" ht="18.75" x14ac:dyDescent="0.3">
      <c r="A3" s="3" t="s">
        <v>239</v>
      </c>
    </row>
    <row r="4" spans="1:30" ht="18.75" x14ac:dyDescent="0.3">
      <c r="A4" s="3"/>
    </row>
    <row r="5" spans="1:30" ht="18.75" x14ac:dyDescent="0.3">
      <c r="A5" s="3" t="s">
        <v>1</v>
      </c>
    </row>
    <row r="7" spans="1:30" ht="21" x14ac:dyDescent="0.35">
      <c r="A7" s="153" t="s">
        <v>57</v>
      </c>
      <c r="B7" s="153"/>
      <c r="C7" s="153"/>
      <c r="D7" s="153"/>
      <c r="E7" s="1"/>
    </row>
    <row r="9" spans="1:30" ht="21.75" thickBot="1" x14ac:dyDescent="0.4">
      <c r="A9" s="105" t="s">
        <v>58</v>
      </c>
      <c r="B9" s="56"/>
      <c r="C9" s="56"/>
      <c r="D9" s="56"/>
      <c r="E9" s="56"/>
      <c r="F9" s="56"/>
      <c r="G9" s="56"/>
      <c r="H9" s="56"/>
      <c r="I9" s="56"/>
      <c r="J9" s="56"/>
    </row>
    <row r="10" spans="1:30" x14ac:dyDescent="0.25">
      <c r="A10" s="1"/>
    </row>
    <row r="11" spans="1:30" ht="21.75" thickBot="1" x14ac:dyDescent="0.4">
      <c r="B11" s="118" t="s">
        <v>2</v>
      </c>
      <c r="C11" s="119"/>
      <c r="D11" s="119"/>
      <c r="E11" s="119"/>
      <c r="F11" s="119"/>
    </row>
    <row r="12" spans="1:30" ht="17.25" thickTop="1" thickBot="1" x14ac:dyDescent="0.3">
      <c r="L12" s="1" t="s">
        <v>3</v>
      </c>
      <c r="M12" s="1" t="s">
        <v>4</v>
      </c>
      <c r="N12" s="1"/>
      <c r="O12" s="1" t="s">
        <v>5</v>
      </c>
      <c r="P12" s="1"/>
      <c r="S12" s="1" t="s">
        <v>159</v>
      </c>
      <c r="U12" s="1" t="s">
        <v>7</v>
      </c>
      <c r="V12" s="1"/>
      <c r="AA12" s="2" t="s">
        <v>42</v>
      </c>
      <c r="AB12" s="2"/>
      <c r="AC12">
        <f>MIN(D22:D23)</f>
        <v>140</v>
      </c>
    </row>
    <row r="13" spans="1:30" ht="16.5" thickBot="1" x14ac:dyDescent="0.3">
      <c r="C13" s="17" t="s">
        <v>3</v>
      </c>
      <c r="D13" s="20" t="s">
        <v>8</v>
      </c>
      <c r="F13" s="28" t="s">
        <v>52</v>
      </c>
      <c r="G13" s="142" t="str">
        <f>IF(AND(AC15=1,OR(D14=L60,D14=L61)),L44,IF(AND(AC15=1,OR(D14=L55,D14=L56,D14=L57,D14=L58)),L46,IF(AND(AC15=2,OR(D14=L62,D14=L63)),L51,IF(AND(OR(AC15=3,AC15=2),OR(D14=L55,D14=L56,D14=L57,D14=L58)),L47,IF(AND(OR(AC15=4, AC15=3, AC15=2,AC15=1),D14=L59),L45,IF(AND(AC15=5, OR(D14=L55,D14=L56,D14=L57)), L49, IF(AND(AC15=6, OR(D14=L55,D14=L56,D14=L57)),L50, "N/A")))))))</f>
        <v>Beam and Stringer</v>
      </c>
      <c r="H13" s="143"/>
      <c r="I13" s="108" t="s">
        <v>209</v>
      </c>
      <c r="L13" t="s">
        <v>8</v>
      </c>
      <c r="M13" t="s">
        <v>13</v>
      </c>
      <c r="O13" t="s">
        <v>19</v>
      </c>
      <c r="S13" t="s">
        <v>164</v>
      </c>
      <c r="U13" t="s">
        <v>22</v>
      </c>
      <c r="AA13" t="s">
        <v>43</v>
      </c>
      <c r="AC13">
        <f>MAX(D22:D23)</f>
        <v>394</v>
      </c>
    </row>
    <row r="14" spans="1:30" ht="16.5" thickBot="1" x14ac:dyDescent="0.3">
      <c r="C14" s="18" t="s">
        <v>4</v>
      </c>
      <c r="D14" s="21" t="s">
        <v>33</v>
      </c>
      <c r="F14" s="28" t="s">
        <v>160</v>
      </c>
      <c r="G14" s="154" t="s">
        <v>164</v>
      </c>
      <c r="H14" s="143"/>
      <c r="L14" t="s">
        <v>9</v>
      </c>
      <c r="M14" t="s">
        <v>32</v>
      </c>
      <c r="O14" t="s">
        <v>18</v>
      </c>
      <c r="S14" t="s">
        <v>161</v>
      </c>
      <c r="U14" t="s">
        <v>23</v>
      </c>
      <c r="AA14" t="s">
        <v>44</v>
      </c>
      <c r="AC14">
        <f>AC13-AC12</f>
        <v>254</v>
      </c>
    </row>
    <row r="15" spans="1:30" x14ac:dyDescent="0.25">
      <c r="C15" s="18" t="s">
        <v>5</v>
      </c>
      <c r="D15" s="21" t="s">
        <v>19</v>
      </c>
      <c r="L15" t="s">
        <v>10</v>
      </c>
      <c r="M15" t="s">
        <v>33</v>
      </c>
      <c r="S15" t="s">
        <v>162</v>
      </c>
      <c r="U15" t="s">
        <v>24</v>
      </c>
      <c r="AA15" t="s">
        <v>45</v>
      </c>
      <c r="AC15">
        <f>IF(AND(AC12&gt;=38,AC12&lt;=89,AC13&gt;=38,AC13&lt;=89),1,IF(AND(AC12&gt;=38,AC12&lt;=89,AC13&gt;=140),2,IF(AND(AC12&gt;=38,AC12&lt;=89,AC13&gt;=114),3,IF(AND(AC12&gt;=38,AC12&lt;=89,AC13&gt;=38),4,IF(AND(AC12&gt;=114,AC14&gt;51),5,IF(AND(AC12&gt;=114,AC14&lt;=51),6,"N/A"))))))</f>
        <v>5</v>
      </c>
    </row>
    <row r="16" spans="1:30" x14ac:dyDescent="0.25">
      <c r="C16" s="18" t="s">
        <v>6</v>
      </c>
      <c r="D16" s="21" t="s">
        <v>20</v>
      </c>
      <c r="L16" t="s">
        <v>11</v>
      </c>
      <c r="M16" t="s">
        <v>34</v>
      </c>
      <c r="O16" s="1" t="s">
        <v>6</v>
      </c>
      <c r="P16" s="1"/>
      <c r="S16" t="s">
        <v>163</v>
      </c>
      <c r="U16" t="s">
        <v>25</v>
      </c>
      <c r="AA16" t="s">
        <v>46</v>
      </c>
      <c r="AC16" s="5" t="str">
        <f>IF(AND(AC15=1,OR(D14=L60,D14=L61)),"B",IF(OR(AC15=1,AC15=2,AC15=3,AC15=4),"A",IF(AC15=5,"C",IF(AC15=6,"D","N/A"))))</f>
        <v>C</v>
      </c>
      <c r="AD16" s="5"/>
    </row>
    <row r="17" spans="1:44" ht="16.5" thickBot="1" x14ac:dyDescent="0.3">
      <c r="C17" s="19" t="s">
        <v>7</v>
      </c>
      <c r="D17" s="22" t="s">
        <v>22</v>
      </c>
      <c r="M17" t="s">
        <v>12</v>
      </c>
      <c r="O17" t="s">
        <v>20</v>
      </c>
      <c r="AA17" t="s">
        <v>47</v>
      </c>
      <c r="AC17">
        <f>VLOOKUP(D14,L55:M61,2,FALSE)</f>
        <v>4</v>
      </c>
    </row>
    <row r="18" spans="1:44" x14ac:dyDescent="0.25">
      <c r="M18" t="s">
        <v>14</v>
      </c>
      <c r="O18" t="s">
        <v>21</v>
      </c>
    </row>
    <row r="19" spans="1:44" ht="21.75" thickBot="1" x14ac:dyDescent="0.4">
      <c r="B19" s="118" t="s">
        <v>36</v>
      </c>
      <c r="C19" s="119"/>
      <c r="D19" s="119"/>
      <c r="E19" s="119"/>
      <c r="F19" s="119"/>
      <c r="M19" t="s">
        <v>15</v>
      </c>
    </row>
    <row r="20" spans="1:44" ht="16.5" thickTop="1" x14ac:dyDescent="0.25">
      <c r="B20" s="108" t="s">
        <v>236</v>
      </c>
      <c r="M20" t="s">
        <v>16</v>
      </c>
    </row>
    <row r="21" spans="1:44" ht="16.5" thickBot="1" x14ac:dyDescent="0.3">
      <c r="B21" s="108"/>
    </row>
    <row r="22" spans="1:44" ht="19.5" x14ac:dyDescent="0.35">
      <c r="C22" s="17" t="s">
        <v>37</v>
      </c>
      <c r="D22" s="26">
        <v>140</v>
      </c>
      <c r="E22" s="23" t="s">
        <v>41</v>
      </c>
      <c r="G22" s="17" t="s">
        <v>176</v>
      </c>
      <c r="H22" s="26">
        <f>D22*D23</f>
        <v>55160</v>
      </c>
      <c r="I22" s="23" t="s">
        <v>207</v>
      </c>
      <c r="M22" t="s">
        <v>17</v>
      </c>
    </row>
    <row r="23" spans="1:44" ht="19.5" x14ac:dyDescent="0.35">
      <c r="C23" s="18" t="s">
        <v>38</v>
      </c>
      <c r="D23" s="8">
        <v>394</v>
      </c>
      <c r="E23" s="24" t="s">
        <v>41</v>
      </c>
      <c r="G23" s="18" t="s">
        <v>177</v>
      </c>
      <c r="H23" s="8">
        <f>(D23-D25)*D22</f>
        <v>49840</v>
      </c>
      <c r="I23" s="24" t="s">
        <v>207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8.75" x14ac:dyDescent="0.35">
      <c r="C24" s="18" t="s">
        <v>39</v>
      </c>
      <c r="D24" s="8">
        <v>100</v>
      </c>
      <c r="E24" s="24" t="s">
        <v>41</v>
      </c>
      <c r="G24" s="42" t="s">
        <v>178</v>
      </c>
      <c r="H24" s="144">
        <f>H23/H22</f>
        <v>0.90355329949238583</v>
      </c>
      <c r="I24" s="145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16.5" thickBot="1" x14ac:dyDescent="0.3">
      <c r="C25" s="18" t="s">
        <v>40</v>
      </c>
      <c r="D25" s="8">
        <v>38</v>
      </c>
      <c r="E25" s="24" t="s">
        <v>41</v>
      </c>
      <c r="F25" t="str">
        <f>IF(D25&lt;=0.25*D23,"OK","dn&gt;0.25d, Member Fails")</f>
        <v>OK</v>
      </c>
      <c r="G25" s="110" t="str">
        <f>IF(H24&lt;0.75,"An Must be &gt; 75% Ag!", "OK")</f>
        <v>OK</v>
      </c>
      <c r="H25" s="111" t="s">
        <v>210</v>
      </c>
      <c r="I25" s="109"/>
      <c r="L25" s="102" t="s">
        <v>166</v>
      </c>
      <c r="M25" s="102" t="s">
        <v>175</v>
      </c>
      <c r="N25" s="70" t="s">
        <v>240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x14ac:dyDescent="0.25">
      <c r="C26" s="18" t="s">
        <v>116</v>
      </c>
      <c r="D26" s="8">
        <v>500</v>
      </c>
      <c r="E26" s="57" t="s">
        <v>41</v>
      </c>
      <c r="L26" s="71">
        <f>C141*C138*C136</f>
        <v>9500</v>
      </c>
      <c r="M26" s="70">
        <v>140</v>
      </c>
      <c r="N26" s="70">
        <v>140</v>
      </c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</row>
    <row r="27" spans="1:44" ht="21" x14ac:dyDescent="0.35">
      <c r="C27" s="18" t="s">
        <v>117</v>
      </c>
      <c r="D27" s="8">
        <v>250</v>
      </c>
      <c r="E27" s="57" t="s">
        <v>41</v>
      </c>
      <c r="G27" s="32" t="str">
        <f>IF(AC13=38,"Larger Dimension Valid",IF(AC13=64,"Larger Dimension Valid",IF(AC13=89,"Larger Dimension Valid",IF(AC13=114,"Larger Dimension Valid",IF(AC13=140,"Larger Dimension Valid",IF(AND(184&lt;=AC13,AC13&lt;=191),"Larger Dimension Valid",IF(AND(235&lt;=AC13,AC13&lt;=241),"Larger Dimension Valid",IF(AND(286&lt;=AC13,AC13&lt;=292),"Larger Dimension Valid",IF(AND(337&lt;=AC13,AC13&lt;=343),"Larger Dimension Valid",IF(AC13&gt;=381,"Larger Dimension Valid","Larger Dimension Not Valid"))))))))))</f>
        <v>Larger Dimension Valid</v>
      </c>
      <c r="L27" s="103" t="s">
        <v>167</v>
      </c>
      <c r="M27" s="70">
        <v>191</v>
      </c>
      <c r="N27" s="70">
        <v>191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4" ht="21.75" thickBot="1" x14ac:dyDescent="0.4">
      <c r="C28" s="19" t="s">
        <v>118</v>
      </c>
      <c r="D28" s="27">
        <f>D26-D27</f>
        <v>250</v>
      </c>
      <c r="E28" s="58" t="s">
        <v>41</v>
      </c>
      <c r="G28" s="32" t="str">
        <f>IF(AND(AC12&gt;=38,AC12&lt;=64),"Smaller Dimension Valid",IF(AND(AC12&gt;=89,AC12&lt;=102),"Smaller Dimension Valid",IF(AC12&gt;=114,"Smaller Dimension Valid","Smaller Dimension Not Valid")))</f>
        <v>Smaller Dimension Valid</v>
      </c>
      <c r="L28" s="101">
        <f>L26*C190</f>
        <v>6778897393333.333</v>
      </c>
      <c r="M28" s="70">
        <v>241</v>
      </c>
      <c r="N28" s="70">
        <v>241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</row>
    <row r="29" spans="1:44" x14ac:dyDescent="0.25">
      <c r="A29" s="1"/>
      <c r="L29" s="71"/>
      <c r="M29" s="70">
        <v>292</v>
      </c>
      <c r="N29" s="70">
        <v>292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0"/>
      <c r="AN29" s="70"/>
      <c r="AO29" s="70"/>
      <c r="AP29" s="70"/>
      <c r="AQ29" s="70"/>
      <c r="AR29" s="70"/>
    </row>
    <row r="30" spans="1:44" x14ac:dyDescent="0.25">
      <c r="L30" s="71"/>
      <c r="M30" s="70">
        <v>343</v>
      </c>
      <c r="N30" s="70">
        <v>343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0"/>
      <c r="AN30" s="70"/>
      <c r="AO30" s="70"/>
      <c r="AP30" s="70"/>
      <c r="AQ30" s="70"/>
      <c r="AR30" s="70"/>
    </row>
    <row r="31" spans="1:44" x14ac:dyDescent="0.25">
      <c r="L31" s="71"/>
      <c r="M31" s="70"/>
      <c r="N31" s="70">
        <v>394</v>
      </c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0"/>
      <c r="AN31" s="70"/>
      <c r="AO31" s="70"/>
      <c r="AP31" s="70"/>
      <c r="AQ31" s="70"/>
      <c r="AR31" s="70"/>
    </row>
    <row r="32" spans="1:44" x14ac:dyDescent="0.25">
      <c r="L32" s="71"/>
      <c r="M32" s="70"/>
      <c r="N32" s="70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0"/>
      <c r="AN32" s="70"/>
      <c r="AO32" s="70"/>
      <c r="AP32" s="70"/>
      <c r="AQ32" s="70"/>
      <c r="AR32" s="70"/>
    </row>
    <row r="33" spans="1:44" x14ac:dyDescent="0.25">
      <c r="L33" s="71"/>
      <c r="M33" s="70"/>
      <c r="N33" s="70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0"/>
      <c r="AN33" s="70"/>
      <c r="AO33" s="70"/>
      <c r="AP33" s="70"/>
      <c r="AQ33" s="70"/>
      <c r="AR33" s="70"/>
    </row>
    <row r="34" spans="1:44" x14ac:dyDescent="0.25">
      <c r="L34" s="71"/>
      <c r="M34" s="70"/>
      <c r="N34" s="70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0"/>
      <c r="AN34" s="70"/>
      <c r="AO34" s="70"/>
      <c r="AP34" s="70"/>
      <c r="AQ34" s="70"/>
      <c r="AR34" s="70"/>
    </row>
    <row r="37" spans="1:44" ht="18.75" x14ac:dyDescent="0.3">
      <c r="B37" s="3"/>
      <c r="L37" s="16" t="s">
        <v>48</v>
      </c>
      <c r="M37" s="16" t="s">
        <v>49</v>
      </c>
      <c r="N37" s="70"/>
    </row>
    <row r="38" spans="1:44" ht="18.75" x14ac:dyDescent="0.3">
      <c r="B38" s="3"/>
      <c r="L38" s="70"/>
      <c r="M38" s="70"/>
      <c r="N38" s="70"/>
    </row>
    <row r="39" spans="1:44" ht="18.75" x14ac:dyDescent="0.3">
      <c r="B39" s="3"/>
      <c r="L39" s="70"/>
      <c r="M39" s="70"/>
      <c r="N39" s="70"/>
    </row>
    <row r="40" spans="1:44" ht="18.75" x14ac:dyDescent="0.3">
      <c r="B40" s="3"/>
      <c r="L40" s="70"/>
      <c r="M40" s="70"/>
      <c r="N40" s="70"/>
    </row>
    <row r="41" spans="1:44" ht="18.75" x14ac:dyDescent="0.3">
      <c r="B41" s="3"/>
      <c r="L41" s="70"/>
      <c r="M41" s="70"/>
      <c r="N41" s="70"/>
    </row>
    <row r="42" spans="1:44" ht="18.75" x14ac:dyDescent="0.3">
      <c r="B42" s="3"/>
      <c r="L42" s="70"/>
      <c r="M42" s="70"/>
      <c r="N42" s="70"/>
    </row>
    <row r="43" spans="1:44" ht="18.75" x14ac:dyDescent="0.3">
      <c r="B43" s="3"/>
      <c r="L43" s="70"/>
      <c r="M43" s="70"/>
      <c r="N43" s="70"/>
    </row>
    <row r="44" spans="1:44" ht="18.75" x14ac:dyDescent="0.3">
      <c r="A44" s="4"/>
      <c r="C44" s="5"/>
      <c r="L44" s="6" t="s">
        <v>50</v>
      </c>
      <c r="M44" s="6">
        <v>1</v>
      </c>
      <c r="N44" s="6"/>
    </row>
    <row r="45" spans="1:44" x14ac:dyDescent="0.25">
      <c r="C45" s="5"/>
      <c r="L45" s="6" t="s">
        <v>12</v>
      </c>
      <c r="M45" s="6">
        <v>2</v>
      </c>
      <c r="N45" s="6"/>
    </row>
    <row r="46" spans="1:44" x14ac:dyDescent="0.25">
      <c r="C46" s="5"/>
      <c r="L46" s="6" t="s">
        <v>53</v>
      </c>
      <c r="M46" s="6">
        <v>3</v>
      </c>
      <c r="N46" s="6"/>
    </row>
    <row r="47" spans="1:44" ht="21.75" thickBot="1" x14ac:dyDescent="0.4">
      <c r="B47" s="120" t="s">
        <v>60</v>
      </c>
      <c r="C47" s="121"/>
      <c r="D47" s="119"/>
      <c r="E47" s="119"/>
      <c r="F47" s="119"/>
      <c r="L47" s="6" t="s">
        <v>54</v>
      </c>
      <c r="M47" s="6">
        <v>4</v>
      </c>
      <c r="N47" s="6"/>
    </row>
    <row r="48" spans="1:44" ht="17.25" thickTop="1" thickBot="1" x14ac:dyDescent="0.3">
      <c r="C48" s="5"/>
      <c r="L48" s="6"/>
      <c r="M48" s="6"/>
      <c r="N48" s="6"/>
    </row>
    <row r="49" spans="1:14" ht="21.75" thickBot="1" x14ac:dyDescent="0.4">
      <c r="B49" s="106"/>
      <c r="C49" s="34"/>
      <c r="D49" s="34"/>
      <c r="F49" s="45" t="s">
        <v>122</v>
      </c>
      <c r="G49" s="66" t="s">
        <v>123</v>
      </c>
      <c r="L49" s="6" t="s">
        <v>55</v>
      </c>
      <c r="M49" s="6">
        <v>5</v>
      </c>
      <c r="N49" s="6"/>
    </row>
    <row r="50" spans="1:14" x14ac:dyDescent="0.25">
      <c r="B50" s="34"/>
      <c r="C50" s="35" t="s">
        <v>61</v>
      </c>
      <c r="D50" s="38">
        <v>1</v>
      </c>
      <c r="E50" s="30" t="s">
        <v>67</v>
      </c>
      <c r="F50" s="67">
        <f>IF($D$27&lt;$D$28,D50*$D$28/$D$26,D50*$D$27/$D$26)</f>
        <v>0.5</v>
      </c>
      <c r="G50" s="48">
        <f>(D50*$D$27*$D$28/$D$26)/1000</f>
        <v>0.125</v>
      </c>
      <c r="L50" s="6" t="s">
        <v>56</v>
      </c>
      <c r="M50" s="6">
        <v>6</v>
      </c>
      <c r="N50" s="6"/>
    </row>
    <row r="51" spans="1:14" x14ac:dyDescent="0.25">
      <c r="B51" s="34"/>
      <c r="C51" s="36" t="s">
        <v>62</v>
      </c>
      <c r="D51" s="39">
        <v>3</v>
      </c>
      <c r="E51" s="29" t="s">
        <v>67</v>
      </c>
      <c r="F51" s="67">
        <f>IF($D$27&lt;$D$28,D51*$D$28/$D$26,D51*$D$27/$D$26)</f>
        <v>1.5</v>
      </c>
      <c r="G51" s="48">
        <f>(D51*$D$27*$D$28/$D$26)/1000</f>
        <v>0.375</v>
      </c>
      <c r="L51" s="6" t="s">
        <v>51</v>
      </c>
      <c r="M51" s="6">
        <v>7</v>
      </c>
      <c r="N51" s="6"/>
    </row>
    <row r="52" spans="1:14" x14ac:dyDescent="0.25">
      <c r="B52" s="34"/>
      <c r="C52" s="36" t="s">
        <v>63</v>
      </c>
      <c r="D52" s="39">
        <v>0</v>
      </c>
      <c r="E52" s="29" t="s">
        <v>67</v>
      </c>
      <c r="F52" s="67">
        <f>IF($D$27&lt;$D$28,D52*$D$28/$D$26,D52*$D$27/$D$26)</f>
        <v>0</v>
      </c>
      <c r="G52" s="48">
        <f>(D52*$D$27*$D$28/$D$26)/1000</f>
        <v>0</v>
      </c>
      <c r="L52" s="6"/>
      <c r="M52" s="6"/>
      <c r="N52" s="6"/>
    </row>
    <row r="53" spans="1:14" x14ac:dyDescent="0.25">
      <c r="B53" s="34"/>
      <c r="C53" s="36" t="s">
        <v>64</v>
      </c>
      <c r="D53" s="39">
        <v>0</v>
      </c>
      <c r="E53" s="29" t="s">
        <v>67</v>
      </c>
      <c r="F53" s="67">
        <f>IF($D$27&lt;$D$28,D53*$D$28/$D$26,D53*$D$27/$D$26)</f>
        <v>0</v>
      </c>
      <c r="G53" s="48">
        <f>(D53*$D$27*$D$28/$D$26)/1000</f>
        <v>0</v>
      </c>
      <c r="L53" s="6"/>
      <c r="M53" s="6"/>
      <c r="N53" s="6"/>
    </row>
    <row r="54" spans="1:14" ht="16.5" thickBot="1" x14ac:dyDescent="0.3">
      <c r="B54" s="34"/>
      <c r="C54" s="37" t="s">
        <v>65</v>
      </c>
      <c r="D54" s="40">
        <v>0</v>
      </c>
      <c r="E54" s="56" t="s">
        <v>67</v>
      </c>
      <c r="F54" s="68">
        <f>IF($D$27&lt;$D$28,D54*$D$28/$D$26,D54*$D$27/$D$26)</f>
        <v>0</v>
      </c>
      <c r="G54" s="69">
        <f>(D54*$D$27*$D$28/$D$26)/1000</f>
        <v>0</v>
      </c>
      <c r="L54" s="16" t="s">
        <v>4</v>
      </c>
      <c r="M54" s="16" t="s">
        <v>49</v>
      </c>
      <c r="N54" s="70"/>
    </row>
    <row r="55" spans="1:14" x14ac:dyDescent="0.25">
      <c r="L55" s="9" t="s">
        <v>13</v>
      </c>
      <c r="M55" s="6">
        <v>2</v>
      </c>
      <c r="N55" s="6"/>
    </row>
    <row r="56" spans="1:14" x14ac:dyDescent="0.25">
      <c r="L56" s="9" t="s">
        <v>32</v>
      </c>
      <c r="M56" s="6">
        <v>3</v>
      </c>
      <c r="N56" s="6"/>
    </row>
    <row r="57" spans="1:14" x14ac:dyDescent="0.25">
      <c r="L57" s="9" t="s">
        <v>33</v>
      </c>
      <c r="M57" s="6">
        <v>4</v>
      </c>
      <c r="N57" s="6"/>
    </row>
    <row r="58" spans="1:14" ht="21.75" thickBot="1" x14ac:dyDescent="0.4">
      <c r="A58" s="10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L58" s="9" t="s">
        <v>34</v>
      </c>
      <c r="M58" s="6">
        <v>5</v>
      </c>
      <c r="N58" s="6"/>
    </row>
    <row r="59" spans="1:14" x14ac:dyDescent="0.25">
      <c r="L59" s="9" t="s">
        <v>12</v>
      </c>
      <c r="M59" s="6">
        <v>6</v>
      </c>
      <c r="N59" s="6"/>
    </row>
    <row r="60" spans="1:14" x14ac:dyDescent="0.25">
      <c r="B60" s="141" t="str">
        <f>IF(AND(F135="OK",F154="OK",F164="OK",F189="OK", G25="OK",F25="OK"),"Member is OK!", "Member Fails!")</f>
        <v>Member is OK!</v>
      </c>
      <c r="C60" s="141"/>
      <c r="D60" s="141"/>
      <c r="E60" s="141"/>
      <c r="F60" s="141"/>
      <c r="G60" s="141"/>
      <c r="L60" s="9" t="s">
        <v>14</v>
      </c>
      <c r="M60" s="6">
        <v>7</v>
      </c>
      <c r="N60" s="6"/>
    </row>
    <row r="61" spans="1:14" x14ac:dyDescent="0.25">
      <c r="B61" s="141"/>
      <c r="C61" s="141"/>
      <c r="D61" s="141"/>
      <c r="E61" s="141"/>
      <c r="F61" s="141"/>
      <c r="G61" s="141"/>
      <c r="L61" s="9" t="s">
        <v>15</v>
      </c>
      <c r="M61" s="6">
        <v>8</v>
      </c>
      <c r="N61" s="6"/>
    </row>
    <row r="62" spans="1:14" x14ac:dyDescent="0.25">
      <c r="B62" s="141"/>
      <c r="C62" s="141"/>
      <c r="D62" s="141"/>
      <c r="E62" s="141"/>
      <c r="F62" s="141"/>
      <c r="G62" s="141"/>
      <c r="L62" s="9" t="s">
        <v>35</v>
      </c>
      <c r="M62" s="6">
        <v>9</v>
      </c>
      <c r="N62" s="6"/>
    </row>
    <row r="63" spans="1:14" x14ac:dyDescent="0.25">
      <c r="L63" s="9" t="s">
        <v>17</v>
      </c>
      <c r="M63" s="6">
        <v>10</v>
      </c>
      <c r="N63" s="6"/>
    </row>
    <row r="64" spans="1:14" ht="16.5" thickBot="1" x14ac:dyDescent="0.3"/>
    <row r="65" spans="1:44" ht="21" x14ac:dyDescent="0.35">
      <c r="B65" s="139"/>
      <c r="C65" s="130" t="s">
        <v>244</v>
      </c>
      <c r="D65" s="131">
        <f>F133</f>
        <v>26.405643599999998</v>
      </c>
      <c r="E65" s="132" t="s">
        <v>141</v>
      </c>
      <c r="F65" t="str">
        <f>IF(D65&gt;=I106,"OK","Fails")</f>
        <v>OK</v>
      </c>
    </row>
    <row r="66" spans="1:44" ht="21" x14ac:dyDescent="0.35">
      <c r="B66" s="139"/>
      <c r="C66" s="133" t="s">
        <v>241</v>
      </c>
      <c r="D66" s="134">
        <f>F152</f>
        <v>40.370400000000004</v>
      </c>
      <c r="E66" s="135" t="s">
        <v>67</v>
      </c>
      <c r="F66" t="str">
        <f>IF(D66&gt;=I79,"OK","Fails")</f>
        <v>OK</v>
      </c>
    </row>
    <row r="67" spans="1:44" ht="21" x14ac:dyDescent="0.35">
      <c r="B67" s="139"/>
      <c r="C67" s="133" t="s">
        <v>242</v>
      </c>
      <c r="D67" s="134">
        <f>F162</f>
        <v>36.682069145856786</v>
      </c>
      <c r="E67" s="135" t="s">
        <v>67</v>
      </c>
      <c r="F67" t="str">
        <f>IF(D67&gt;=I79,"OK","Fails")</f>
        <v>OK</v>
      </c>
    </row>
    <row r="68" spans="1:44" ht="21.75" thickBot="1" x14ac:dyDescent="0.4">
      <c r="B68" s="139"/>
      <c r="C68" s="136" t="s">
        <v>243</v>
      </c>
      <c r="D68" s="137">
        <f>C191</f>
        <v>1.5366314110183872E-3</v>
      </c>
      <c r="E68" s="138" t="s">
        <v>41</v>
      </c>
      <c r="F68" t="str">
        <f>IF(D68&lt;=C192,"OK","Fails")</f>
        <v>OK</v>
      </c>
    </row>
    <row r="71" spans="1:44" ht="21.75" thickBot="1" x14ac:dyDescent="0.4">
      <c r="A71" s="105" t="s">
        <v>68</v>
      </c>
      <c r="B71" s="56"/>
      <c r="C71" s="56"/>
      <c r="D71" s="56"/>
      <c r="E71" s="56"/>
      <c r="F71" s="56"/>
      <c r="G71" s="56"/>
      <c r="H71" s="56"/>
      <c r="I71" s="56"/>
      <c r="J71" s="56"/>
    </row>
    <row r="72" spans="1:44" ht="18.75" x14ac:dyDescent="0.3">
      <c r="A72" s="4"/>
    </row>
    <row r="73" spans="1:44" ht="21.75" thickBot="1" x14ac:dyDescent="0.4">
      <c r="B73" s="118" t="s">
        <v>69</v>
      </c>
      <c r="C73" s="119"/>
      <c r="D73" s="119"/>
      <c r="E73" s="119"/>
      <c r="F73" s="119"/>
    </row>
    <row r="74" spans="1:44" ht="16.5" thickTop="1" x14ac:dyDescent="0.25">
      <c r="B74" s="108" t="s">
        <v>211</v>
      </c>
      <c r="C74" s="29"/>
      <c r="D74" s="29"/>
      <c r="E74" s="29"/>
      <c r="F74" s="29"/>
    </row>
    <row r="75" spans="1:44" x14ac:dyDescent="0.25">
      <c r="B75" s="108"/>
    </row>
    <row r="76" spans="1:44" ht="19.5" thickBot="1" x14ac:dyDescent="0.35">
      <c r="B76" s="3" t="s">
        <v>119</v>
      </c>
    </row>
    <row r="77" spans="1:44" ht="18.75" x14ac:dyDescent="0.35">
      <c r="B77" s="45"/>
      <c r="C77" s="46" t="s">
        <v>70</v>
      </c>
      <c r="D77" s="46" t="s">
        <v>115</v>
      </c>
      <c r="E77" s="46" t="s">
        <v>179</v>
      </c>
      <c r="F77" s="51" t="s">
        <v>180</v>
      </c>
      <c r="L77" s="34" t="s">
        <v>125</v>
      </c>
      <c r="M77" s="7"/>
      <c r="N77" s="70"/>
      <c r="O77" s="6"/>
      <c r="P77" s="6"/>
      <c r="Q77" s="6"/>
      <c r="R77" s="6"/>
      <c r="S77" s="6"/>
      <c r="T77" s="6"/>
      <c r="U77" s="7"/>
      <c r="V77" s="70"/>
      <c r="W77" s="6"/>
      <c r="X77" s="6"/>
      <c r="Y77" s="6"/>
      <c r="Z77" s="6"/>
      <c r="AA77" s="6"/>
      <c r="AB77" s="6"/>
      <c r="AC77" s="7"/>
      <c r="AD77" s="70"/>
      <c r="AE77" s="6"/>
      <c r="AF77" s="6"/>
      <c r="AG77" s="6"/>
      <c r="AH77" s="6"/>
      <c r="AI77" s="6"/>
      <c r="AJ77" s="6"/>
      <c r="AK77" s="70"/>
      <c r="AL77" s="70"/>
      <c r="AM77" s="6"/>
      <c r="AN77" s="6"/>
      <c r="AO77" s="6"/>
      <c r="AP77" s="6"/>
      <c r="AQ77" s="6"/>
      <c r="AR77" s="34"/>
    </row>
    <row r="78" spans="1:44" ht="16.5" thickBot="1" x14ac:dyDescent="0.3">
      <c r="B78" s="47">
        <v>1</v>
      </c>
      <c r="C78" s="43" t="s">
        <v>71</v>
      </c>
      <c r="D78" s="44">
        <f>1.4*$F$50</f>
        <v>0.7</v>
      </c>
      <c r="E78" s="43">
        <v>0.65</v>
      </c>
      <c r="F78" s="52">
        <f t="shared" ref="F78:F99" si="0">D78/E78</f>
        <v>1.0769230769230769</v>
      </c>
      <c r="G78" s="53">
        <f t="shared" ref="G78:G99" si="1">D78</f>
        <v>0.7</v>
      </c>
      <c r="L78" s="6" t="s">
        <v>26</v>
      </c>
      <c r="M78" s="7" t="s">
        <v>27</v>
      </c>
      <c r="N78" s="70"/>
      <c r="O78" s="6"/>
      <c r="P78" s="6"/>
      <c r="Q78" s="7" t="s">
        <v>28</v>
      </c>
      <c r="R78" s="6"/>
      <c r="S78" s="6"/>
      <c r="T78" s="6"/>
      <c r="U78" s="7" t="s">
        <v>29</v>
      </c>
      <c r="V78" s="70"/>
      <c r="W78" s="6"/>
      <c r="X78" s="6"/>
      <c r="Y78" s="7" t="s">
        <v>30</v>
      </c>
      <c r="Z78" s="6"/>
      <c r="AA78" s="6"/>
      <c r="AB78" s="6"/>
      <c r="AC78" s="7"/>
    </row>
    <row r="79" spans="1:44" x14ac:dyDescent="0.25">
      <c r="B79" s="49" t="s">
        <v>72</v>
      </c>
      <c r="C79" s="43" t="s">
        <v>73</v>
      </c>
      <c r="D79" s="44">
        <f>1.25*$F$50+1.5*$F$51</f>
        <v>2.875</v>
      </c>
      <c r="E79" s="43">
        <v>1</v>
      </c>
      <c r="F79" s="52">
        <f t="shared" si="0"/>
        <v>2.875</v>
      </c>
      <c r="G79" s="53">
        <f t="shared" si="1"/>
        <v>2.875</v>
      </c>
      <c r="H79" s="54" t="s">
        <v>120</v>
      </c>
      <c r="I79" s="26">
        <f>VLOOKUP(F100,F78:G99,2,FALSE)</f>
        <v>2.875</v>
      </c>
      <c r="J79" s="23" t="s">
        <v>67</v>
      </c>
      <c r="L79" s="6" t="s">
        <v>31</v>
      </c>
      <c r="M79" s="75" t="s">
        <v>8</v>
      </c>
      <c r="N79" s="76" t="s">
        <v>9</v>
      </c>
      <c r="O79" s="76" t="s">
        <v>10</v>
      </c>
      <c r="P79" s="89" t="s">
        <v>11</v>
      </c>
      <c r="Q79" s="77" t="s">
        <v>8</v>
      </c>
      <c r="R79" s="76" t="s">
        <v>9</v>
      </c>
      <c r="S79" s="76" t="s">
        <v>10</v>
      </c>
      <c r="T79" s="76" t="s">
        <v>11</v>
      </c>
      <c r="U79" s="77" t="s">
        <v>8</v>
      </c>
      <c r="V79" s="76" t="s">
        <v>9</v>
      </c>
      <c r="W79" s="76" t="s">
        <v>10</v>
      </c>
      <c r="X79" s="76" t="s">
        <v>11</v>
      </c>
      <c r="Y79" s="77" t="s">
        <v>8</v>
      </c>
      <c r="Z79" s="76" t="s">
        <v>9</v>
      </c>
      <c r="AA79" s="76" t="s">
        <v>10</v>
      </c>
      <c r="AB79" s="78" t="s">
        <v>11</v>
      </c>
    </row>
    <row r="80" spans="1:44" ht="19.5" thickBot="1" x14ac:dyDescent="0.4">
      <c r="B80" s="49" t="s">
        <v>74</v>
      </c>
      <c r="C80" s="43" t="s">
        <v>75</v>
      </c>
      <c r="D80" s="44">
        <f>1.25*$F$50+1.5*$F$51+0.5*$F$52</f>
        <v>2.875</v>
      </c>
      <c r="E80" s="43">
        <v>1</v>
      </c>
      <c r="F80" s="52">
        <f t="shared" si="0"/>
        <v>2.875</v>
      </c>
      <c r="G80" s="53">
        <f t="shared" si="1"/>
        <v>2.875</v>
      </c>
      <c r="H80" s="55" t="s">
        <v>181</v>
      </c>
      <c r="I80" s="27">
        <f>VLOOKUP(I79,D78:E99,2,FALSE)</f>
        <v>1</v>
      </c>
      <c r="J80" s="25"/>
      <c r="L80" s="9" t="s">
        <v>13</v>
      </c>
      <c r="M80" s="79">
        <v>16.5</v>
      </c>
      <c r="N80" s="10">
        <v>16</v>
      </c>
      <c r="O80" s="10">
        <v>16.5</v>
      </c>
      <c r="P80" s="12">
        <v>10.6</v>
      </c>
      <c r="Q80" s="11"/>
      <c r="R80" s="10"/>
      <c r="S80" s="10"/>
      <c r="T80" s="10"/>
      <c r="U80" s="11">
        <v>19.5</v>
      </c>
      <c r="V80" s="10">
        <v>14.5</v>
      </c>
      <c r="W80" s="10">
        <v>13.6</v>
      </c>
      <c r="X80" s="10">
        <v>12.8</v>
      </c>
      <c r="Y80" s="11">
        <v>18.3</v>
      </c>
      <c r="Z80" s="10">
        <v>13.6</v>
      </c>
      <c r="AA80" s="10">
        <v>12.7</v>
      </c>
      <c r="AB80" s="80">
        <v>12</v>
      </c>
    </row>
    <row r="81" spans="2:44" x14ac:dyDescent="0.25">
      <c r="B81" s="49" t="s">
        <v>76</v>
      </c>
      <c r="C81" s="43" t="s">
        <v>77</v>
      </c>
      <c r="D81" s="44">
        <f>1.25*$F$50+1.5*$F$51+0.4*$F$53</f>
        <v>2.875</v>
      </c>
      <c r="E81" s="43">
        <v>1.1499999999999999</v>
      </c>
      <c r="F81" s="52">
        <f t="shared" si="0"/>
        <v>2.5</v>
      </c>
      <c r="G81" s="53">
        <f t="shared" si="1"/>
        <v>2.875</v>
      </c>
      <c r="L81" s="9" t="s">
        <v>32</v>
      </c>
      <c r="M81" s="81">
        <v>10</v>
      </c>
      <c r="N81" s="72">
        <v>11</v>
      </c>
      <c r="O81" s="72">
        <v>11.8</v>
      </c>
      <c r="P81" s="14">
        <v>7.6</v>
      </c>
      <c r="Q81" s="13"/>
      <c r="R81" s="72"/>
      <c r="S81" s="72"/>
      <c r="T81" s="72"/>
      <c r="U81" s="13">
        <v>15.8</v>
      </c>
      <c r="V81" s="72">
        <v>11.7</v>
      </c>
      <c r="W81" s="72">
        <v>11</v>
      </c>
      <c r="X81" s="72">
        <v>10.8</v>
      </c>
      <c r="Y81" s="13">
        <v>13.8</v>
      </c>
      <c r="Z81" s="72">
        <v>10.199999999999999</v>
      </c>
      <c r="AA81" s="72">
        <v>9.6</v>
      </c>
      <c r="AB81" s="82">
        <v>9</v>
      </c>
    </row>
    <row r="82" spans="2:44" x14ac:dyDescent="0.25">
      <c r="B82" s="49" t="s">
        <v>78</v>
      </c>
      <c r="C82" s="43" t="s">
        <v>79</v>
      </c>
      <c r="D82" s="44">
        <f>0.9*$F$50+1.5*$F$51</f>
        <v>2.7</v>
      </c>
      <c r="E82" s="43">
        <v>1</v>
      </c>
      <c r="F82" s="52">
        <f t="shared" si="0"/>
        <v>2.7</v>
      </c>
      <c r="G82" s="53">
        <f t="shared" si="1"/>
        <v>2.7</v>
      </c>
      <c r="L82" s="9" t="s">
        <v>33</v>
      </c>
      <c r="M82" s="81">
        <v>10</v>
      </c>
      <c r="N82" s="72">
        <v>11</v>
      </c>
      <c r="O82" s="72">
        <v>11.8</v>
      </c>
      <c r="P82" s="14">
        <v>7.6</v>
      </c>
      <c r="Q82" s="13"/>
      <c r="R82" s="72"/>
      <c r="S82" s="72"/>
      <c r="T82" s="72"/>
      <c r="U82" s="13">
        <v>9</v>
      </c>
      <c r="V82" s="72">
        <v>6.7</v>
      </c>
      <c r="W82" s="72">
        <v>6.3</v>
      </c>
      <c r="X82" s="72">
        <v>5.9</v>
      </c>
      <c r="Y82" s="13">
        <v>6</v>
      </c>
      <c r="Z82" s="72">
        <v>4.5</v>
      </c>
      <c r="AA82" s="72">
        <v>4.2</v>
      </c>
      <c r="AB82" s="82">
        <v>3.9</v>
      </c>
    </row>
    <row r="83" spans="2:44" x14ac:dyDescent="0.25">
      <c r="B83" s="49" t="s">
        <v>80</v>
      </c>
      <c r="C83" s="43" t="s">
        <v>81</v>
      </c>
      <c r="D83" s="44">
        <f>0.9*$F$50+1.5*$F$51+0.5*$F$52</f>
        <v>2.7</v>
      </c>
      <c r="E83" s="43">
        <v>1</v>
      </c>
      <c r="F83" s="52">
        <f t="shared" si="0"/>
        <v>2.7</v>
      </c>
      <c r="G83" s="53">
        <f t="shared" si="1"/>
        <v>2.7</v>
      </c>
      <c r="L83" s="9" t="s">
        <v>34</v>
      </c>
      <c r="M83" s="81">
        <v>4.5999999999999996</v>
      </c>
      <c r="N83" s="72">
        <v>7</v>
      </c>
      <c r="O83" s="72">
        <v>7</v>
      </c>
      <c r="P83" s="14">
        <v>4.5</v>
      </c>
      <c r="Q83" s="13"/>
      <c r="R83" s="72"/>
      <c r="S83" s="72"/>
      <c r="T83" s="72"/>
      <c r="U83" s="13"/>
      <c r="V83" s="72"/>
      <c r="W83" s="72"/>
      <c r="X83" s="72"/>
      <c r="Y83" s="13"/>
      <c r="Z83" s="70"/>
      <c r="AA83" s="70"/>
      <c r="AB83" s="83"/>
    </row>
    <row r="84" spans="2:44" x14ac:dyDescent="0.25">
      <c r="B84" s="49" t="s">
        <v>82</v>
      </c>
      <c r="C84" s="43" t="s">
        <v>83</v>
      </c>
      <c r="D84" s="44">
        <f>0.9*$F$50+1.5*$F$51+0.4*$F$53</f>
        <v>2.7</v>
      </c>
      <c r="E84" s="43">
        <v>1.1499999999999999</v>
      </c>
      <c r="F84" s="52">
        <f t="shared" si="0"/>
        <v>2.347826086956522</v>
      </c>
      <c r="G84" s="53">
        <f t="shared" si="1"/>
        <v>2.7</v>
      </c>
      <c r="L84" s="9" t="s">
        <v>12</v>
      </c>
      <c r="M84" s="81">
        <v>4.5999999999999996</v>
      </c>
      <c r="N84" s="72">
        <v>7</v>
      </c>
      <c r="O84" s="72">
        <v>7</v>
      </c>
      <c r="P84" s="14">
        <v>4.5</v>
      </c>
      <c r="Q84" s="13"/>
      <c r="R84" s="72"/>
      <c r="S84" s="72"/>
      <c r="T84" s="72"/>
      <c r="U84" s="13"/>
      <c r="V84" s="72"/>
      <c r="W84" s="72"/>
      <c r="X84" s="72"/>
      <c r="Y84" s="13"/>
      <c r="Z84" s="70"/>
      <c r="AA84" s="70"/>
      <c r="AB84" s="83"/>
    </row>
    <row r="85" spans="2:44" x14ac:dyDescent="0.25">
      <c r="B85" s="49" t="s">
        <v>84</v>
      </c>
      <c r="C85" s="43" t="s">
        <v>85</v>
      </c>
      <c r="D85" s="44">
        <f>1.25*$F$50+1.5*$F$52</f>
        <v>0.625</v>
      </c>
      <c r="E85" s="43">
        <v>1</v>
      </c>
      <c r="F85" s="52">
        <f t="shared" si="0"/>
        <v>0.625</v>
      </c>
      <c r="G85" s="53">
        <f t="shared" si="1"/>
        <v>0.625</v>
      </c>
      <c r="L85" s="9" t="s">
        <v>14</v>
      </c>
      <c r="M85" s="81"/>
      <c r="N85" s="72"/>
      <c r="O85" s="72"/>
      <c r="P85" s="14"/>
      <c r="Q85" s="13">
        <v>13</v>
      </c>
      <c r="R85" s="72">
        <v>14.3</v>
      </c>
      <c r="S85" s="72">
        <v>15.3</v>
      </c>
      <c r="T85" s="72">
        <v>9.9</v>
      </c>
      <c r="U85" s="13"/>
      <c r="V85" s="72"/>
      <c r="W85" s="72"/>
      <c r="X85" s="72"/>
      <c r="Y85" s="13"/>
      <c r="Z85" s="70"/>
      <c r="AA85" s="70"/>
      <c r="AB85" s="83"/>
    </row>
    <row r="86" spans="2:44" x14ac:dyDescent="0.25">
      <c r="B86" s="49" t="s">
        <v>86</v>
      </c>
      <c r="C86" s="43" t="s">
        <v>87</v>
      </c>
      <c r="D86" s="44">
        <f>1.25*$F$50+1.5*$F$52+0.5*$F$51</f>
        <v>1.375</v>
      </c>
      <c r="E86" s="43">
        <v>1</v>
      </c>
      <c r="F86" s="52">
        <f t="shared" si="0"/>
        <v>1.375</v>
      </c>
      <c r="G86" s="53">
        <f t="shared" si="1"/>
        <v>1.375</v>
      </c>
      <c r="L86" s="9" t="s">
        <v>15</v>
      </c>
      <c r="M86" s="81"/>
      <c r="N86" s="72"/>
      <c r="O86" s="72"/>
      <c r="P86" s="14"/>
      <c r="Q86" s="13">
        <v>7.3</v>
      </c>
      <c r="R86" s="72">
        <v>8</v>
      </c>
      <c r="S86" s="72">
        <v>8.6</v>
      </c>
      <c r="T86" s="72">
        <v>5.5</v>
      </c>
      <c r="U86" s="13"/>
      <c r="V86" s="72"/>
      <c r="W86" s="72"/>
      <c r="X86" s="72"/>
      <c r="Y86" s="13"/>
      <c r="Z86" s="70"/>
      <c r="AA86" s="70"/>
      <c r="AB86" s="83"/>
    </row>
    <row r="87" spans="2:44" x14ac:dyDescent="0.25">
      <c r="B87" s="49" t="s">
        <v>88</v>
      </c>
      <c r="C87" s="43" t="s">
        <v>89</v>
      </c>
      <c r="D87" s="44">
        <f>1.25*$F$50+1.5*$F$52+0.4*$F$53</f>
        <v>0.625</v>
      </c>
      <c r="E87" s="43">
        <v>1.1499999999999999</v>
      </c>
      <c r="F87" s="52">
        <f t="shared" si="0"/>
        <v>0.5434782608695653</v>
      </c>
      <c r="G87" s="53">
        <f t="shared" si="1"/>
        <v>0.625</v>
      </c>
      <c r="L87" s="9" t="s">
        <v>35</v>
      </c>
      <c r="M87" s="81">
        <f>M80</f>
        <v>16.5</v>
      </c>
      <c r="N87" s="73">
        <f>N80</f>
        <v>16</v>
      </c>
      <c r="O87" s="7">
        <f t="shared" ref="O87" si="2">O80</f>
        <v>16.5</v>
      </c>
      <c r="P87" s="14">
        <f>P80</f>
        <v>10.6</v>
      </c>
      <c r="Q87" s="13"/>
      <c r="R87" s="72"/>
      <c r="S87" s="72"/>
      <c r="T87" s="72"/>
      <c r="U87" s="13"/>
      <c r="V87" s="72"/>
      <c r="W87" s="72"/>
      <c r="X87" s="72"/>
      <c r="Y87" s="13"/>
      <c r="Z87" s="70"/>
      <c r="AA87" s="70"/>
      <c r="AB87" s="83"/>
    </row>
    <row r="88" spans="2:44" ht="16.5" thickBot="1" x14ac:dyDescent="0.3">
      <c r="B88" s="49" t="s">
        <v>90</v>
      </c>
      <c r="C88" s="43" t="s">
        <v>91</v>
      </c>
      <c r="D88" s="44">
        <f>0.9*$F$50+1.5*$F$52</f>
        <v>0.45</v>
      </c>
      <c r="E88" s="43">
        <v>1</v>
      </c>
      <c r="F88" s="52">
        <f t="shared" si="0"/>
        <v>0.45</v>
      </c>
      <c r="G88" s="53">
        <f t="shared" si="1"/>
        <v>0.45</v>
      </c>
      <c r="L88" s="9" t="s">
        <v>17</v>
      </c>
      <c r="M88" s="84">
        <f>M82</f>
        <v>10</v>
      </c>
      <c r="N88" s="85">
        <f>N82</f>
        <v>11</v>
      </c>
      <c r="O88" s="85">
        <f>O82</f>
        <v>11.8</v>
      </c>
      <c r="P88" s="90">
        <f>P82</f>
        <v>7.6</v>
      </c>
      <c r="Q88" s="86"/>
      <c r="R88" s="85"/>
      <c r="S88" s="85"/>
      <c r="T88" s="85"/>
      <c r="U88" s="86"/>
      <c r="V88" s="85"/>
      <c r="W88" s="85"/>
      <c r="X88" s="85"/>
      <c r="Y88" s="86"/>
      <c r="Z88" s="87"/>
      <c r="AA88" s="87"/>
      <c r="AB88" s="88"/>
    </row>
    <row r="89" spans="2:44" x14ac:dyDescent="0.25">
      <c r="B89" s="49" t="s">
        <v>92</v>
      </c>
      <c r="C89" s="43" t="s">
        <v>93</v>
      </c>
      <c r="D89" s="44">
        <f>0.9*$F$50+1.5*$F$52+0.5*$F$51</f>
        <v>1.2</v>
      </c>
      <c r="E89" s="43">
        <v>1</v>
      </c>
      <c r="F89" s="52">
        <f t="shared" si="0"/>
        <v>1.2</v>
      </c>
      <c r="G89" s="53">
        <f t="shared" si="1"/>
        <v>1.2</v>
      </c>
    </row>
    <row r="90" spans="2:44" x14ac:dyDescent="0.25">
      <c r="B90" s="49" t="s">
        <v>94</v>
      </c>
      <c r="C90" s="43" t="s">
        <v>95</v>
      </c>
      <c r="D90" s="44">
        <f>0.9*$F$50+1.5*$F$52+0.4*$F$53</f>
        <v>0.45</v>
      </c>
      <c r="E90" s="43">
        <v>1.1499999999999999</v>
      </c>
      <c r="F90" s="52">
        <f t="shared" si="0"/>
        <v>0.39130434782608697</v>
      </c>
      <c r="G90" s="53">
        <f t="shared" si="1"/>
        <v>0.45</v>
      </c>
    </row>
    <row r="91" spans="2:44" x14ac:dyDescent="0.25">
      <c r="B91" s="49" t="s">
        <v>96</v>
      </c>
      <c r="C91" s="43" t="s">
        <v>97</v>
      </c>
      <c r="D91" s="44">
        <f>1.25*$F$50+1.4*$F$53</f>
        <v>0.625</v>
      </c>
      <c r="E91" s="43">
        <v>1.1499999999999999</v>
      </c>
      <c r="F91" s="52">
        <f t="shared" si="0"/>
        <v>0.5434782608695653</v>
      </c>
      <c r="G91" s="53">
        <f t="shared" si="1"/>
        <v>0.625</v>
      </c>
    </row>
    <row r="92" spans="2:44" x14ac:dyDescent="0.25">
      <c r="B92" s="49" t="s">
        <v>98</v>
      </c>
      <c r="C92" s="43" t="s">
        <v>99</v>
      </c>
      <c r="D92" s="44">
        <f>1.25*$F$50+1.4*$F$53+0.5*$F$51</f>
        <v>1.375</v>
      </c>
      <c r="E92" s="43">
        <v>1.1499999999999999</v>
      </c>
      <c r="F92" s="52">
        <f t="shared" si="0"/>
        <v>1.1956521739130437</v>
      </c>
      <c r="G92" s="53">
        <f t="shared" si="1"/>
        <v>1.375</v>
      </c>
      <c r="L92" s="34" t="s">
        <v>126</v>
      </c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"/>
      <c r="AF92" s="6"/>
      <c r="AG92" s="6"/>
      <c r="AH92" s="6"/>
      <c r="AI92" s="6"/>
      <c r="AJ92" s="70"/>
      <c r="AK92" s="70"/>
      <c r="AL92" s="6"/>
      <c r="AM92" s="6"/>
      <c r="AN92" s="6"/>
      <c r="AO92" s="6"/>
      <c r="AP92" s="6"/>
      <c r="AQ92" s="6"/>
      <c r="AR92" s="34"/>
    </row>
    <row r="93" spans="2:44" ht="16.5" thickBot="1" x14ac:dyDescent="0.3">
      <c r="B93" s="49" t="s">
        <v>100</v>
      </c>
      <c r="C93" s="43" t="s">
        <v>101</v>
      </c>
      <c r="D93" s="44">
        <f>1.25*$F$50+1.4*$F$53+0.5*$F$52</f>
        <v>0.625</v>
      </c>
      <c r="E93" s="43">
        <v>1.1499999999999999</v>
      </c>
      <c r="F93" s="52">
        <f t="shared" si="0"/>
        <v>0.5434782608695653</v>
      </c>
      <c r="G93" s="53">
        <f t="shared" si="1"/>
        <v>0.625</v>
      </c>
      <c r="L93" s="6" t="s">
        <v>26</v>
      </c>
      <c r="M93" s="7" t="s">
        <v>27</v>
      </c>
      <c r="N93" s="70"/>
      <c r="O93" s="6"/>
      <c r="P93" s="6"/>
      <c r="Q93" s="7" t="s">
        <v>28</v>
      </c>
      <c r="R93" s="6"/>
      <c r="S93" s="70"/>
      <c r="T93" s="70"/>
      <c r="U93" s="7" t="s">
        <v>29</v>
      </c>
      <c r="V93" s="70"/>
      <c r="W93" s="6"/>
      <c r="X93" s="6"/>
      <c r="Y93" s="7" t="s">
        <v>30</v>
      </c>
      <c r="Z93" s="6"/>
      <c r="AA93" s="70"/>
      <c r="AB93" s="70"/>
      <c r="AC93" s="74"/>
      <c r="AD93" s="74"/>
    </row>
    <row r="94" spans="2:44" x14ac:dyDescent="0.25">
      <c r="B94" s="49" t="s">
        <v>102</v>
      </c>
      <c r="C94" s="43" t="s">
        <v>103</v>
      </c>
      <c r="D94" s="44">
        <f>0.9*$F$50+1.4*$F$53</f>
        <v>0.45</v>
      </c>
      <c r="E94" s="43">
        <v>1.1499999999999999</v>
      </c>
      <c r="F94" s="52">
        <f t="shared" si="0"/>
        <v>0.39130434782608697</v>
      </c>
      <c r="G94" s="53">
        <f t="shared" si="1"/>
        <v>0.45</v>
      </c>
      <c r="L94" s="6" t="s">
        <v>31</v>
      </c>
      <c r="M94" s="75" t="s">
        <v>8</v>
      </c>
      <c r="N94" s="76" t="s">
        <v>9</v>
      </c>
      <c r="O94" s="76" t="s">
        <v>10</v>
      </c>
      <c r="P94" s="89" t="s">
        <v>11</v>
      </c>
      <c r="Q94" s="77" t="s">
        <v>8</v>
      </c>
      <c r="R94" s="76" t="s">
        <v>9</v>
      </c>
      <c r="S94" s="76" t="s">
        <v>10</v>
      </c>
      <c r="T94" s="89" t="s">
        <v>11</v>
      </c>
      <c r="U94" s="77" t="s">
        <v>8</v>
      </c>
      <c r="V94" s="76" t="s">
        <v>9</v>
      </c>
      <c r="W94" s="76" t="s">
        <v>10</v>
      </c>
      <c r="X94" s="89" t="s">
        <v>11</v>
      </c>
      <c r="Y94" s="76" t="s">
        <v>8</v>
      </c>
      <c r="Z94" s="76" t="s">
        <v>9</v>
      </c>
      <c r="AA94" s="76" t="s">
        <v>10</v>
      </c>
      <c r="AB94" s="78" t="s">
        <v>11</v>
      </c>
    </row>
    <row r="95" spans="2:44" x14ac:dyDescent="0.25">
      <c r="B95" s="49" t="s">
        <v>104</v>
      </c>
      <c r="C95" s="43" t="s">
        <v>105</v>
      </c>
      <c r="D95" s="44">
        <f>0.9*$F$50+1.4*$F$53+0.5*$F$51</f>
        <v>1.2</v>
      </c>
      <c r="E95" s="43">
        <v>1.1499999999999999</v>
      </c>
      <c r="F95" s="52">
        <f t="shared" si="0"/>
        <v>1.0434782608695652</v>
      </c>
      <c r="G95" s="53">
        <f t="shared" si="1"/>
        <v>1.2</v>
      </c>
      <c r="L95" s="9" t="s">
        <v>13</v>
      </c>
      <c r="M95" s="79">
        <v>1.9</v>
      </c>
      <c r="N95" s="10">
        <v>1.6</v>
      </c>
      <c r="O95" s="10">
        <v>1.5</v>
      </c>
      <c r="P95" s="12">
        <v>1.3</v>
      </c>
      <c r="Q95" s="11"/>
      <c r="R95" s="10"/>
      <c r="S95" s="10"/>
      <c r="T95" s="12"/>
      <c r="U95" s="11">
        <v>1.5</v>
      </c>
      <c r="V95" s="10">
        <v>1.2</v>
      </c>
      <c r="W95" s="10">
        <v>1.2</v>
      </c>
      <c r="X95" s="12">
        <v>1</v>
      </c>
      <c r="Y95" s="10">
        <v>1.5</v>
      </c>
      <c r="Z95" s="10">
        <v>1.2</v>
      </c>
      <c r="AA95" s="10">
        <v>1.2</v>
      </c>
      <c r="AB95" s="80">
        <v>1</v>
      </c>
    </row>
    <row r="96" spans="2:44" x14ac:dyDescent="0.25">
      <c r="B96" s="49" t="s">
        <v>106</v>
      </c>
      <c r="C96" s="43" t="s">
        <v>107</v>
      </c>
      <c r="D96" s="44">
        <f>0.9*$F$50+1.4*$F$53+0.5*$F$52</f>
        <v>0.45</v>
      </c>
      <c r="E96" s="43">
        <v>1.1499999999999999</v>
      </c>
      <c r="F96" s="52">
        <f t="shared" si="0"/>
        <v>0.39130434782608697</v>
      </c>
      <c r="G96" s="53">
        <f t="shared" si="1"/>
        <v>0.45</v>
      </c>
      <c r="L96" s="9" t="s">
        <v>32</v>
      </c>
      <c r="M96" s="81">
        <v>1.9</v>
      </c>
      <c r="N96" s="72">
        <v>1.6</v>
      </c>
      <c r="O96" s="72">
        <v>1.5</v>
      </c>
      <c r="P96" s="14">
        <v>1.3</v>
      </c>
      <c r="Q96" s="13"/>
      <c r="R96" s="72"/>
      <c r="S96" s="72"/>
      <c r="T96" s="14"/>
      <c r="U96" s="13">
        <v>1.5</v>
      </c>
      <c r="V96" s="72">
        <v>1.2</v>
      </c>
      <c r="W96" s="72">
        <v>1.2</v>
      </c>
      <c r="X96" s="14">
        <v>1</v>
      </c>
      <c r="Y96" s="72">
        <v>1.5</v>
      </c>
      <c r="Z96" s="72">
        <v>1.2</v>
      </c>
      <c r="AA96" s="72">
        <v>1.2</v>
      </c>
      <c r="AB96" s="82">
        <v>1</v>
      </c>
    </row>
    <row r="97" spans="2:28" x14ac:dyDescent="0.25">
      <c r="B97" s="49" t="s">
        <v>108</v>
      </c>
      <c r="C97" s="43" t="s">
        <v>109</v>
      </c>
      <c r="D97" s="44">
        <f>1*$F$50+1*$F$54</f>
        <v>0.5</v>
      </c>
      <c r="E97" s="43">
        <v>1.1499999999999999</v>
      </c>
      <c r="F97" s="52">
        <f t="shared" si="0"/>
        <v>0.43478260869565222</v>
      </c>
      <c r="G97" s="53">
        <f t="shared" si="1"/>
        <v>0.5</v>
      </c>
      <c r="L97" s="9" t="s">
        <v>33</v>
      </c>
      <c r="M97" s="81">
        <v>1.9</v>
      </c>
      <c r="N97" s="72">
        <v>1.6</v>
      </c>
      <c r="O97" s="72">
        <v>1.5</v>
      </c>
      <c r="P97" s="14">
        <v>1.3</v>
      </c>
      <c r="Q97" s="13"/>
      <c r="R97" s="72"/>
      <c r="S97" s="72"/>
      <c r="T97" s="14"/>
      <c r="U97" s="13">
        <v>1.5</v>
      </c>
      <c r="V97" s="72">
        <v>1.2</v>
      </c>
      <c r="W97" s="72">
        <v>1.2</v>
      </c>
      <c r="X97" s="14">
        <v>1</v>
      </c>
      <c r="Y97" s="72">
        <v>1.5</v>
      </c>
      <c r="Z97" s="72">
        <v>1.2</v>
      </c>
      <c r="AA97" s="72">
        <v>1.2</v>
      </c>
      <c r="AB97" s="82">
        <v>1</v>
      </c>
    </row>
    <row r="98" spans="2:28" x14ac:dyDescent="0.25">
      <c r="B98" s="49" t="s">
        <v>110</v>
      </c>
      <c r="C98" s="43" t="s">
        <v>111</v>
      </c>
      <c r="D98" s="44">
        <f>1*$F$50+1*$F$54+0.5*$F$51</f>
        <v>1.25</v>
      </c>
      <c r="E98" s="43">
        <v>1.1499999999999999</v>
      </c>
      <c r="F98" s="52">
        <f t="shared" si="0"/>
        <v>1.0869565217391306</v>
      </c>
      <c r="G98" s="53">
        <f t="shared" si="1"/>
        <v>1.25</v>
      </c>
      <c r="L98" s="9" t="s">
        <v>34</v>
      </c>
      <c r="M98" s="81">
        <v>1.9</v>
      </c>
      <c r="N98" s="72">
        <v>1.6</v>
      </c>
      <c r="O98" s="72">
        <v>1.5</v>
      </c>
      <c r="P98" s="14">
        <v>1.3</v>
      </c>
      <c r="Q98" s="13"/>
      <c r="R98" s="72"/>
      <c r="S98" s="72"/>
      <c r="T98" s="14"/>
      <c r="U98" s="13"/>
      <c r="V98" s="72"/>
      <c r="W98" s="72"/>
      <c r="X98" s="14"/>
      <c r="Y98" s="72"/>
      <c r="Z98" s="70"/>
      <c r="AA98" s="70"/>
      <c r="AB98" s="83"/>
    </row>
    <row r="99" spans="2:28" x14ac:dyDescent="0.25">
      <c r="B99" s="49" t="s">
        <v>112</v>
      </c>
      <c r="C99" s="43" t="s">
        <v>113</v>
      </c>
      <c r="D99" s="44">
        <f>1*$F$50+1*$F$54+0.25*$F$52</f>
        <v>0.5</v>
      </c>
      <c r="E99" s="43">
        <v>1.1499999999999999</v>
      </c>
      <c r="F99" s="52">
        <f t="shared" si="0"/>
        <v>0.43478260869565222</v>
      </c>
      <c r="G99" s="53">
        <f t="shared" si="1"/>
        <v>0.5</v>
      </c>
      <c r="L99" s="9" t="s">
        <v>12</v>
      </c>
      <c r="M99" s="81">
        <v>1.9</v>
      </c>
      <c r="N99" s="72">
        <v>1.6</v>
      </c>
      <c r="O99" s="72">
        <v>1.5</v>
      </c>
      <c r="P99" s="14">
        <v>1.3</v>
      </c>
      <c r="Q99" s="13"/>
      <c r="R99" s="72"/>
      <c r="S99" s="72"/>
      <c r="T99" s="14"/>
      <c r="U99" s="13"/>
      <c r="V99" s="72"/>
      <c r="W99" s="72"/>
      <c r="X99" s="14"/>
      <c r="Y99" s="72"/>
      <c r="Z99" s="70"/>
      <c r="AA99" s="70"/>
      <c r="AB99" s="83"/>
    </row>
    <row r="100" spans="2:28" ht="16.5" thickBot="1" x14ac:dyDescent="0.3">
      <c r="B100" s="146" t="s">
        <v>114</v>
      </c>
      <c r="C100" s="147"/>
      <c r="D100" s="147"/>
      <c r="E100" s="148"/>
      <c r="F100" s="50">
        <f>MAX(F78:F99)</f>
        <v>2.875</v>
      </c>
      <c r="L100" s="9" t="s">
        <v>14</v>
      </c>
      <c r="M100" s="81"/>
      <c r="N100" s="72"/>
      <c r="O100" s="72"/>
      <c r="P100" s="14"/>
      <c r="Q100" s="13">
        <v>3.2</v>
      </c>
      <c r="R100" s="72">
        <v>2.7</v>
      </c>
      <c r="S100" s="72">
        <v>2.6</v>
      </c>
      <c r="T100" s="14">
        <v>2.2000000000000002</v>
      </c>
      <c r="U100" s="13"/>
      <c r="V100" s="72"/>
      <c r="W100" s="72"/>
      <c r="X100" s="14"/>
      <c r="Y100" s="72"/>
      <c r="Z100" s="70"/>
      <c r="AA100" s="70"/>
      <c r="AB100" s="83"/>
    </row>
    <row r="101" spans="2:28" x14ac:dyDescent="0.25">
      <c r="L101" s="9" t="s">
        <v>15</v>
      </c>
      <c r="M101" s="81"/>
      <c r="N101" s="72"/>
      <c r="O101" s="72"/>
      <c r="P101" s="14"/>
      <c r="Q101" s="13">
        <v>3.2</v>
      </c>
      <c r="R101" s="72">
        <v>2.7</v>
      </c>
      <c r="S101" s="72">
        <v>2.6</v>
      </c>
      <c r="T101" s="14">
        <v>2.2000000000000002</v>
      </c>
      <c r="U101" s="13"/>
      <c r="V101" s="72"/>
      <c r="W101" s="72"/>
      <c r="X101" s="14"/>
      <c r="Y101" s="72"/>
      <c r="Z101" s="70"/>
      <c r="AA101" s="70"/>
      <c r="AB101" s="83"/>
    </row>
    <row r="102" spans="2:28" x14ac:dyDescent="0.25">
      <c r="L102" s="9" t="s">
        <v>35</v>
      </c>
      <c r="M102" s="81">
        <f>M95</f>
        <v>1.9</v>
      </c>
      <c r="N102" s="70">
        <f t="shared" ref="N102" si="3">N95</f>
        <v>1.6</v>
      </c>
      <c r="O102" s="72">
        <v>1.5</v>
      </c>
      <c r="P102" s="14">
        <v>1.3</v>
      </c>
      <c r="Q102" s="13"/>
      <c r="R102" s="72"/>
      <c r="S102" s="72"/>
      <c r="T102" s="14"/>
      <c r="U102" s="13"/>
      <c r="V102" s="72"/>
      <c r="W102" s="72"/>
      <c r="X102" s="14"/>
      <c r="Y102" s="72"/>
      <c r="Z102" s="70"/>
      <c r="AA102" s="70"/>
      <c r="AB102" s="83"/>
    </row>
    <row r="103" spans="2:28" ht="19.5" thickBot="1" x14ac:dyDescent="0.35">
      <c r="B103" s="33" t="s">
        <v>121</v>
      </c>
      <c r="C103" s="34"/>
      <c r="D103" s="34"/>
      <c r="E103" s="34"/>
      <c r="F103" s="34"/>
      <c r="L103" s="9" t="s">
        <v>17</v>
      </c>
      <c r="M103" s="84">
        <v>1.9</v>
      </c>
      <c r="N103" s="85">
        <v>1.6</v>
      </c>
      <c r="O103" s="85">
        <v>1.5</v>
      </c>
      <c r="P103" s="90">
        <v>1.3</v>
      </c>
      <c r="Q103" s="86"/>
      <c r="R103" s="85"/>
      <c r="S103" s="85"/>
      <c r="T103" s="90"/>
      <c r="U103" s="86"/>
      <c r="V103" s="85"/>
      <c r="W103" s="85"/>
      <c r="X103" s="90"/>
      <c r="Y103" s="85"/>
      <c r="Z103" s="87"/>
      <c r="AA103" s="87"/>
      <c r="AB103" s="88"/>
    </row>
    <row r="104" spans="2:28" ht="18.75" x14ac:dyDescent="0.35">
      <c r="B104" s="59"/>
      <c r="C104" s="60" t="s">
        <v>70</v>
      </c>
      <c r="D104" s="60" t="s">
        <v>171</v>
      </c>
      <c r="E104" s="60" t="s">
        <v>182</v>
      </c>
      <c r="F104" s="61" t="s">
        <v>183</v>
      </c>
    </row>
    <row r="105" spans="2:28" ht="16.5" thickBot="1" x14ac:dyDescent="0.3">
      <c r="B105" s="62">
        <v>1</v>
      </c>
      <c r="C105" s="63" t="s">
        <v>71</v>
      </c>
      <c r="D105" s="44">
        <f>1.4*$G$50</f>
        <v>0.17499999999999999</v>
      </c>
      <c r="E105" s="63">
        <v>0.65</v>
      </c>
      <c r="F105" s="52">
        <f t="shared" ref="F105:F126" si="4">D105/E105</f>
        <v>0.26923076923076922</v>
      </c>
      <c r="G105" s="53">
        <f t="shared" ref="G105:G126" si="5">D105</f>
        <v>0.17499999999999999</v>
      </c>
    </row>
    <row r="106" spans="2:28" x14ac:dyDescent="0.25">
      <c r="B106" s="65" t="s">
        <v>72</v>
      </c>
      <c r="C106" s="63" t="s">
        <v>73</v>
      </c>
      <c r="D106" s="44">
        <f>1.25*$G$50+1.5*$G$51</f>
        <v>0.71875</v>
      </c>
      <c r="E106" s="63">
        <v>1</v>
      </c>
      <c r="F106" s="52">
        <f t="shared" si="4"/>
        <v>0.71875</v>
      </c>
      <c r="G106" s="53">
        <f t="shared" si="5"/>
        <v>0.71875</v>
      </c>
      <c r="H106" s="54" t="s">
        <v>143</v>
      </c>
      <c r="I106" s="125">
        <f>VLOOKUP(F127,F105:G126,2,FALSE)</f>
        <v>0.71875</v>
      </c>
      <c r="J106" s="23" t="s">
        <v>141</v>
      </c>
      <c r="L106" s="93" t="s">
        <v>127</v>
      </c>
      <c r="M106" t="s">
        <v>130</v>
      </c>
    </row>
    <row r="107" spans="2:28" ht="19.5" thickBot="1" x14ac:dyDescent="0.4">
      <c r="B107" s="65" t="s">
        <v>74</v>
      </c>
      <c r="C107" s="63" t="s">
        <v>75</v>
      </c>
      <c r="D107" s="44">
        <f>1.25*$G$50+1.5*$G$51+0.5*$G$52</f>
        <v>0.71875</v>
      </c>
      <c r="E107" s="63">
        <v>1</v>
      </c>
      <c r="F107" s="52">
        <f t="shared" si="4"/>
        <v>0.71875</v>
      </c>
      <c r="G107" s="53">
        <f t="shared" si="5"/>
        <v>0.71875</v>
      </c>
      <c r="H107" s="55" t="s">
        <v>181</v>
      </c>
      <c r="I107" s="27">
        <f>VLOOKUP(I106,D105:E126,2,FALSE)</f>
        <v>1</v>
      </c>
      <c r="J107" s="25"/>
      <c r="L107" s="92" t="s">
        <v>128</v>
      </c>
      <c r="M107" t="s">
        <v>129</v>
      </c>
      <c r="N107" t="s">
        <v>131</v>
      </c>
      <c r="O107" t="s">
        <v>132</v>
      </c>
    </row>
    <row r="108" spans="2:28" x14ac:dyDescent="0.25">
      <c r="B108" s="65" t="s">
        <v>76</v>
      </c>
      <c r="C108" s="63" t="s">
        <v>77</v>
      </c>
      <c r="D108" s="44">
        <f>1.25*$G$50+1.5*$G$51+0.4*$G$53</f>
        <v>0.71875</v>
      </c>
      <c r="E108" s="63">
        <v>1.1499999999999999</v>
      </c>
      <c r="F108" s="52">
        <f t="shared" si="4"/>
        <v>0.625</v>
      </c>
      <c r="G108" s="53">
        <f t="shared" si="5"/>
        <v>0.71875</v>
      </c>
      <c r="L108" s="5">
        <v>38</v>
      </c>
      <c r="M108">
        <v>1.7</v>
      </c>
    </row>
    <row r="109" spans="2:28" x14ac:dyDescent="0.25">
      <c r="B109" s="65" t="s">
        <v>78</v>
      </c>
      <c r="C109" s="63" t="s">
        <v>79</v>
      </c>
      <c r="D109" s="44">
        <f>0.9*$G$50+1.5*$G$51</f>
        <v>0.67500000000000004</v>
      </c>
      <c r="E109" s="63">
        <v>1</v>
      </c>
      <c r="F109" s="52">
        <f t="shared" si="4"/>
        <v>0.67500000000000004</v>
      </c>
      <c r="G109" s="53">
        <f t="shared" si="5"/>
        <v>0.67500000000000004</v>
      </c>
      <c r="L109" s="5">
        <v>64</v>
      </c>
      <c r="M109">
        <v>1.7</v>
      </c>
    </row>
    <row r="110" spans="2:28" x14ac:dyDescent="0.25">
      <c r="B110" s="65" t="s">
        <v>80</v>
      </c>
      <c r="C110" s="63" t="s">
        <v>81</v>
      </c>
      <c r="D110" s="44">
        <f>0.9*$G$50+1.5*$G$51+0.5*$G$52</f>
        <v>0.67500000000000004</v>
      </c>
      <c r="E110" s="63">
        <v>1</v>
      </c>
      <c r="F110" s="52">
        <f t="shared" si="4"/>
        <v>0.67500000000000004</v>
      </c>
      <c r="G110" s="53">
        <f t="shared" si="5"/>
        <v>0.67500000000000004</v>
      </c>
      <c r="L110" s="5">
        <v>89</v>
      </c>
      <c r="M110">
        <v>1.7</v>
      </c>
      <c r="N110">
        <v>1.7</v>
      </c>
    </row>
    <row r="111" spans="2:28" x14ac:dyDescent="0.25">
      <c r="B111" s="65" t="s">
        <v>82</v>
      </c>
      <c r="C111" s="63" t="s">
        <v>83</v>
      </c>
      <c r="D111" s="44">
        <f>0.9*$G$50+1.5*$G$51+0.4*$G$53</f>
        <v>0.67500000000000004</v>
      </c>
      <c r="E111" s="63">
        <v>1.1499999999999999</v>
      </c>
      <c r="F111" s="52">
        <f t="shared" si="4"/>
        <v>0.58695652173913049</v>
      </c>
      <c r="G111" s="53">
        <f t="shared" si="5"/>
        <v>0.67500000000000004</v>
      </c>
      <c r="L111" s="5">
        <v>114</v>
      </c>
      <c r="M111">
        <v>1.5</v>
      </c>
      <c r="N111">
        <v>1.6</v>
      </c>
      <c r="O111">
        <v>1.3</v>
      </c>
    </row>
    <row r="112" spans="2:28" x14ac:dyDescent="0.25">
      <c r="B112" s="65" t="s">
        <v>84</v>
      </c>
      <c r="C112" s="63" t="s">
        <v>85</v>
      </c>
      <c r="D112" s="44">
        <f>1.25*$G$50+1.5*$G$52</f>
        <v>0.15625</v>
      </c>
      <c r="E112" s="63">
        <v>1</v>
      </c>
      <c r="F112" s="52">
        <f t="shared" si="4"/>
        <v>0.15625</v>
      </c>
      <c r="G112" s="53">
        <f t="shared" si="5"/>
        <v>0.15625</v>
      </c>
      <c r="L112" s="5">
        <v>140</v>
      </c>
      <c r="M112">
        <v>1.4</v>
      </c>
      <c r="N112">
        <v>1.6</v>
      </c>
      <c r="O112">
        <v>1.3</v>
      </c>
    </row>
    <row r="113" spans="2:28" x14ac:dyDescent="0.25">
      <c r="B113" s="65" t="s">
        <v>86</v>
      </c>
      <c r="C113" s="63" t="s">
        <v>87</v>
      </c>
      <c r="D113" s="44">
        <f>1.25*$G$50+1.5*$G$52+0.5*$G$51</f>
        <v>0.34375</v>
      </c>
      <c r="E113" s="63">
        <v>1</v>
      </c>
      <c r="F113" s="52">
        <f t="shared" si="4"/>
        <v>0.34375</v>
      </c>
      <c r="G113" s="53">
        <f t="shared" si="5"/>
        <v>0.34375</v>
      </c>
      <c r="L113" s="5" t="s">
        <v>133</v>
      </c>
      <c r="M113">
        <v>1.2</v>
      </c>
      <c r="N113">
        <v>1.3</v>
      </c>
      <c r="O113">
        <v>1.3</v>
      </c>
    </row>
    <row r="114" spans="2:28" x14ac:dyDescent="0.25">
      <c r="B114" s="65" t="s">
        <v>88</v>
      </c>
      <c r="C114" s="63" t="s">
        <v>89</v>
      </c>
      <c r="D114" s="44">
        <f>1.25*$G$50+1.5*$G$52+0.4*$G$53</f>
        <v>0.15625</v>
      </c>
      <c r="E114" s="63">
        <v>1.1499999999999999</v>
      </c>
      <c r="F114" s="52">
        <f t="shared" si="4"/>
        <v>0.13586956521739132</v>
      </c>
      <c r="G114" s="53">
        <f t="shared" si="5"/>
        <v>0.15625</v>
      </c>
      <c r="L114" s="5" t="s">
        <v>134</v>
      </c>
      <c r="M114">
        <v>1.1000000000000001</v>
      </c>
      <c r="N114">
        <v>1.2</v>
      </c>
      <c r="O114">
        <v>1.2</v>
      </c>
    </row>
    <row r="115" spans="2:28" x14ac:dyDescent="0.25">
      <c r="B115" s="65" t="s">
        <v>90</v>
      </c>
      <c r="C115" s="63" t="s">
        <v>91</v>
      </c>
      <c r="D115" s="44">
        <f>0.9*$G$50+1.5*$G$52</f>
        <v>0.1125</v>
      </c>
      <c r="E115" s="63">
        <v>1</v>
      </c>
      <c r="F115" s="52">
        <f t="shared" si="4"/>
        <v>0.1125</v>
      </c>
      <c r="G115" s="53">
        <f t="shared" si="5"/>
        <v>0.1125</v>
      </c>
      <c r="L115" s="5" t="s">
        <v>135</v>
      </c>
      <c r="M115">
        <v>1</v>
      </c>
      <c r="N115">
        <v>1.1000000000000001</v>
      </c>
      <c r="O115">
        <v>1.1000000000000001</v>
      </c>
    </row>
    <row r="116" spans="2:28" x14ac:dyDescent="0.25">
      <c r="B116" s="65" t="s">
        <v>92</v>
      </c>
      <c r="C116" s="63" t="s">
        <v>93</v>
      </c>
      <c r="D116" s="44">
        <f>0.9*$G$50+1.5*$G$52+0.5*$G$51</f>
        <v>0.3</v>
      </c>
      <c r="E116" s="63">
        <v>1</v>
      </c>
      <c r="F116" s="52">
        <f t="shared" si="4"/>
        <v>0.3</v>
      </c>
      <c r="G116" s="53">
        <f t="shared" si="5"/>
        <v>0.3</v>
      </c>
      <c r="L116" s="5" t="s">
        <v>136</v>
      </c>
      <c r="M116">
        <v>0.9</v>
      </c>
      <c r="N116">
        <v>1</v>
      </c>
      <c r="O116">
        <v>1</v>
      </c>
    </row>
    <row r="117" spans="2:28" x14ac:dyDescent="0.25">
      <c r="B117" s="65" t="s">
        <v>94</v>
      </c>
      <c r="C117" s="63" t="s">
        <v>95</v>
      </c>
      <c r="D117" s="44">
        <f>0.9*$G$50+1.5*$G$52+0.4*$G$53</f>
        <v>0.1125</v>
      </c>
      <c r="E117" s="63">
        <v>1.1499999999999999</v>
      </c>
      <c r="F117" s="52">
        <f t="shared" si="4"/>
        <v>9.7826086956521743E-2</v>
      </c>
      <c r="G117" s="53">
        <f t="shared" si="5"/>
        <v>0.1125</v>
      </c>
      <c r="L117" s="5" t="s">
        <v>137</v>
      </c>
      <c r="M117">
        <v>0.8</v>
      </c>
      <c r="N117">
        <v>0.9</v>
      </c>
      <c r="O117">
        <v>0.9</v>
      </c>
    </row>
    <row r="118" spans="2:28" x14ac:dyDescent="0.25">
      <c r="B118" s="65" t="s">
        <v>96</v>
      </c>
      <c r="C118" s="63" t="s">
        <v>97</v>
      </c>
      <c r="D118" s="44">
        <f>1.25*$G$50+1.4*$G$53</f>
        <v>0.15625</v>
      </c>
      <c r="E118" s="63">
        <v>1.1499999999999999</v>
      </c>
      <c r="F118" s="52">
        <f t="shared" si="4"/>
        <v>0.13586956521739132</v>
      </c>
      <c r="G118" s="53">
        <f t="shared" si="5"/>
        <v>0.15625</v>
      </c>
    </row>
    <row r="119" spans="2:28" x14ac:dyDescent="0.25">
      <c r="B119" s="65" t="s">
        <v>98</v>
      </c>
      <c r="C119" s="63" t="s">
        <v>99</v>
      </c>
      <c r="D119" s="44">
        <f>1.25*$G$50+1.4*$G$53+0.5*$G$51</f>
        <v>0.34375</v>
      </c>
      <c r="E119" s="63">
        <v>1.1499999999999999</v>
      </c>
      <c r="F119" s="52">
        <f t="shared" si="4"/>
        <v>0.29891304347826092</v>
      </c>
      <c r="G119" s="53">
        <f t="shared" si="5"/>
        <v>0.34375</v>
      </c>
      <c r="L119" s="34" t="s">
        <v>139</v>
      </c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2:28" ht="16.5" thickBot="1" x14ac:dyDescent="0.3">
      <c r="B120" s="65" t="s">
        <v>100</v>
      </c>
      <c r="C120" s="63" t="s">
        <v>101</v>
      </c>
      <c r="D120" s="44">
        <f>1.25*$G$50+1.4*$G$53+0.5*$G$52</f>
        <v>0.15625</v>
      </c>
      <c r="E120" s="63">
        <v>1.1499999999999999</v>
      </c>
      <c r="F120" s="52">
        <f t="shared" si="4"/>
        <v>0.13586956521739132</v>
      </c>
      <c r="G120" s="53">
        <f t="shared" si="5"/>
        <v>0.15625</v>
      </c>
      <c r="L120" s="6" t="s">
        <v>26</v>
      </c>
      <c r="M120" s="7" t="s">
        <v>27</v>
      </c>
      <c r="N120" s="70"/>
      <c r="O120" s="6"/>
      <c r="P120" s="6"/>
      <c r="Q120" s="7" t="s">
        <v>28</v>
      </c>
      <c r="R120" s="70"/>
      <c r="S120" s="70"/>
      <c r="T120" s="15"/>
      <c r="U120" s="70" t="s">
        <v>29</v>
      </c>
      <c r="V120" s="70"/>
      <c r="W120" s="6"/>
      <c r="X120" s="6"/>
      <c r="Y120" s="7" t="s">
        <v>30</v>
      </c>
      <c r="Z120" s="6"/>
      <c r="AA120" s="70"/>
      <c r="AB120" s="70"/>
    </row>
    <row r="121" spans="2:28" x14ac:dyDescent="0.25">
      <c r="B121" s="65" t="s">
        <v>102</v>
      </c>
      <c r="C121" s="63" t="s">
        <v>103</v>
      </c>
      <c r="D121" s="44">
        <f>0.9*$G$50+1.4*$G$53</f>
        <v>0.1125</v>
      </c>
      <c r="E121" s="63">
        <v>1.1499999999999999</v>
      </c>
      <c r="F121" s="52">
        <f t="shared" si="4"/>
        <v>9.7826086956521743E-2</v>
      </c>
      <c r="G121" s="53">
        <f t="shared" si="5"/>
        <v>0.1125</v>
      </c>
      <c r="L121" s="6" t="s">
        <v>31</v>
      </c>
      <c r="M121" s="75" t="s">
        <v>8</v>
      </c>
      <c r="N121" s="76" t="s">
        <v>9</v>
      </c>
      <c r="O121" s="76" t="s">
        <v>10</v>
      </c>
      <c r="P121" s="76" t="s">
        <v>11</v>
      </c>
      <c r="Q121" s="77" t="s">
        <v>8</v>
      </c>
      <c r="R121" s="76" t="s">
        <v>9</v>
      </c>
      <c r="S121" s="76" t="s">
        <v>10</v>
      </c>
      <c r="T121" s="89" t="s">
        <v>11</v>
      </c>
      <c r="U121" s="76" t="s">
        <v>8</v>
      </c>
      <c r="V121" s="76" t="s">
        <v>9</v>
      </c>
      <c r="W121" s="76" t="s">
        <v>10</v>
      </c>
      <c r="X121" s="76" t="s">
        <v>11</v>
      </c>
      <c r="Y121" s="76" t="s">
        <v>8</v>
      </c>
      <c r="Z121" s="76" t="s">
        <v>9</v>
      </c>
      <c r="AA121" s="76" t="s">
        <v>10</v>
      </c>
      <c r="AB121" s="78" t="s">
        <v>11</v>
      </c>
    </row>
    <row r="122" spans="2:28" x14ac:dyDescent="0.25">
      <c r="B122" s="65" t="s">
        <v>104</v>
      </c>
      <c r="C122" s="63" t="s">
        <v>105</v>
      </c>
      <c r="D122" s="44">
        <f>0.9*$G$50+1.4*$G$53+0.5*$G$51</f>
        <v>0.3</v>
      </c>
      <c r="E122" s="63">
        <v>1.1499999999999999</v>
      </c>
      <c r="F122" s="52">
        <f t="shared" si="4"/>
        <v>0.2608695652173913</v>
      </c>
      <c r="G122" s="53">
        <f t="shared" si="5"/>
        <v>0.3</v>
      </c>
      <c r="L122" s="9" t="s">
        <v>13</v>
      </c>
      <c r="M122" s="79">
        <v>12500</v>
      </c>
      <c r="N122" s="10">
        <v>12000</v>
      </c>
      <c r="O122" s="10">
        <v>10500</v>
      </c>
      <c r="P122" s="10">
        <v>7500</v>
      </c>
      <c r="Q122" s="11"/>
      <c r="R122" s="10"/>
      <c r="S122" s="10"/>
      <c r="T122" s="12"/>
      <c r="U122" s="11">
        <v>12000</v>
      </c>
      <c r="V122" s="10">
        <v>10000</v>
      </c>
      <c r="W122" s="10">
        <v>8500</v>
      </c>
      <c r="X122" s="12">
        <v>8000</v>
      </c>
      <c r="Y122" s="10">
        <v>12000</v>
      </c>
      <c r="Z122" s="10">
        <v>10000</v>
      </c>
      <c r="AA122" s="10">
        <v>8500</v>
      </c>
      <c r="AB122" s="80">
        <v>8000</v>
      </c>
    </row>
    <row r="123" spans="2:28" x14ac:dyDescent="0.25">
      <c r="B123" s="65" t="s">
        <v>106</v>
      </c>
      <c r="C123" s="63" t="s">
        <v>107</v>
      </c>
      <c r="D123" s="44">
        <f>0.9*$G$50+1.4*$G$53+0.5*$G$52</f>
        <v>0.1125</v>
      </c>
      <c r="E123" s="63">
        <v>1.1499999999999999</v>
      </c>
      <c r="F123" s="52">
        <f t="shared" si="4"/>
        <v>9.7826086956521743E-2</v>
      </c>
      <c r="G123" s="53">
        <f t="shared" si="5"/>
        <v>0.1125</v>
      </c>
      <c r="L123" s="9" t="s">
        <v>32</v>
      </c>
      <c r="M123" s="81">
        <v>11000</v>
      </c>
      <c r="N123" s="72">
        <v>11000</v>
      </c>
      <c r="O123" s="72">
        <v>9500</v>
      </c>
      <c r="P123" s="72">
        <v>7000</v>
      </c>
      <c r="Q123" s="13"/>
      <c r="R123" s="72"/>
      <c r="S123" s="72"/>
      <c r="T123" s="14"/>
      <c r="U123" s="13">
        <v>12000</v>
      </c>
      <c r="V123" s="72">
        <v>10000</v>
      </c>
      <c r="W123" s="72">
        <v>8500</v>
      </c>
      <c r="X123" s="14">
        <v>8000</v>
      </c>
      <c r="Y123" s="72">
        <v>10500</v>
      </c>
      <c r="Z123" s="72">
        <v>9000</v>
      </c>
      <c r="AA123" s="72">
        <v>7500</v>
      </c>
      <c r="AB123" s="82">
        <v>7000</v>
      </c>
    </row>
    <row r="124" spans="2:28" x14ac:dyDescent="0.25">
      <c r="B124" s="65" t="s">
        <v>108</v>
      </c>
      <c r="C124" s="63" t="s">
        <v>109</v>
      </c>
      <c r="D124" s="44">
        <f>1*$G$50+1*$G$54</f>
        <v>0.125</v>
      </c>
      <c r="E124" s="63">
        <v>1.1499999999999999</v>
      </c>
      <c r="F124" s="52">
        <f t="shared" si="4"/>
        <v>0.10869565217391305</v>
      </c>
      <c r="G124" s="53">
        <f t="shared" si="5"/>
        <v>0.125</v>
      </c>
      <c r="L124" s="9" t="s">
        <v>33</v>
      </c>
      <c r="M124" s="81">
        <v>11000</v>
      </c>
      <c r="N124" s="72">
        <v>11000</v>
      </c>
      <c r="O124" s="72">
        <v>9500</v>
      </c>
      <c r="P124" s="72">
        <v>7000</v>
      </c>
      <c r="Q124" s="13"/>
      <c r="R124" s="72"/>
      <c r="S124" s="72"/>
      <c r="T124" s="14"/>
      <c r="U124" s="13">
        <v>9500</v>
      </c>
      <c r="V124" s="72">
        <v>8000</v>
      </c>
      <c r="W124" s="72">
        <v>6500</v>
      </c>
      <c r="X124" s="14">
        <v>6000</v>
      </c>
      <c r="Y124" s="72">
        <v>9500</v>
      </c>
      <c r="Z124" s="72">
        <v>8000</v>
      </c>
      <c r="AA124" s="72">
        <v>6500</v>
      </c>
      <c r="AB124" s="82">
        <v>6000</v>
      </c>
    </row>
    <row r="125" spans="2:28" x14ac:dyDescent="0.25">
      <c r="B125" s="65" t="s">
        <v>110</v>
      </c>
      <c r="C125" s="63" t="s">
        <v>111</v>
      </c>
      <c r="D125" s="44">
        <f>1*$G$50+1*$G$54+0.5*$G$51</f>
        <v>0.3125</v>
      </c>
      <c r="E125" s="63">
        <v>1.1499999999999999</v>
      </c>
      <c r="F125" s="52">
        <f t="shared" si="4"/>
        <v>0.27173913043478265</v>
      </c>
      <c r="G125" s="53">
        <f t="shared" si="5"/>
        <v>0.3125</v>
      </c>
      <c r="L125" s="9" t="s">
        <v>34</v>
      </c>
      <c r="M125" s="81">
        <v>10000</v>
      </c>
      <c r="N125" s="72">
        <v>10000</v>
      </c>
      <c r="O125" s="72">
        <v>9000</v>
      </c>
      <c r="P125" s="72">
        <v>6500</v>
      </c>
      <c r="Q125" s="13"/>
      <c r="R125" s="72"/>
      <c r="S125" s="72"/>
      <c r="T125" s="14"/>
      <c r="U125" s="13"/>
      <c r="V125" s="72"/>
      <c r="W125" s="72"/>
      <c r="X125" s="14"/>
      <c r="Y125" s="72"/>
      <c r="Z125" s="70"/>
      <c r="AA125" s="70"/>
      <c r="AB125" s="83"/>
    </row>
    <row r="126" spans="2:28" x14ac:dyDescent="0.25">
      <c r="B126" s="65" t="s">
        <v>112</v>
      </c>
      <c r="C126" s="63" t="s">
        <v>113</v>
      </c>
      <c r="D126" s="44">
        <f>1*$G$50+1*$G$54+0.25*$G$52</f>
        <v>0.125</v>
      </c>
      <c r="E126" s="63">
        <v>1.1499999999999999</v>
      </c>
      <c r="F126" s="52">
        <f t="shared" si="4"/>
        <v>0.10869565217391305</v>
      </c>
      <c r="G126" s="53">
        <f t="shared" si="5"/>
        <v>0.125</v>
      </c>
      <c r="L126" s="9" t="s">
        <v>12</v>
      </c>
      <c r="M126" s="81">
        <v>10000</v>
      </c>
      <c r="N126" s="72">
        <v>10000</v>
      </c>
      <c r="O126" s="72">
        <v>9000</v>
      </c>
      <c r="P126" s="72">
        <v>6500</v>
      </c>
      <c r="Q126" s="13"/>
      <c r="R126" s="72"/>
      <c r="S126" s="72"/>
      <c r="T126" s="14"/>
      <c r="U126" s="13"/>
      <c r="V126" s="72"/>
      <c r="W126" s="72"/>
      <c r="X126" s="14"/>
      <c r="Y126" s="72"/>
      <c r="Z126" s="70"/>
      <c r="AA126" s="70"/>
      <c r="AB126" s="83"/>
    </row>
    <row r="127" spans="2:28" ht="16.5" thickBot="1" x14ac:dyDescent="0.3">
      <c r="B127" s="149" t="s">
        <v>114</v>
      </c>
      <c r="C127" s="150"/>
      <c r="D127" s="150"/>
      <c r="E127" s="151"/>
      <c r="F127" s="50">
        <f>MAX(F105:F126)</f>
        <v>0.71875</v>
      </c>
      <c r="L127" s="9" t="s">
        <v>14</v>
      </c>
      <c r="M127" s="81"/>
      <c r="N127" s="72"/>
      <c r="O127" s="72"/>
      <c r="P127" s="72"/>
      <c r="Q127" s="13">
        <v>10000</v>
      </c>
      <c r="R127" s="72">
        <v>10000</v>
      </c>
      <c r="S127" s="72">
        <v>9000</v>
      </c>
      <c r="T127" s="14">
        <v>6500</v>
      </c>
      <c r="U127" s="13"/>
      <c r="V127" s="72"/>
      <c r="W127" s="72"/>
      <c r="X127" s="14"/>
      <c r="Y127" s="72"/>
      <c r="Z127" s="70"/>
      <c r="AA127" s="70"/>
      <c r="AB127" s="83"/>
    </row>
    <row r="128" spans="2:28" x14ac:dyDescent="0.25">
      <c r="L128" s="9" t="s">
        <v>15</v>
      </c>
      <c r="M128" s="81"/>
      <c r="N128" s="72"/>
      <c r="O128" s="72"/>
      <c r="P128" s="72"/>
      <c r="Q128" s="13">
        <v>9000</v>
      </c>
      <c r="R128" s="72">
        <v>9000</v>
      </c>
      <c r="S128" s="72">
        <v>8000</v>
      </c>
      <c r="T128" s="14">
        <v>6000</v>
      </c>
      <c r="U128" s="13"/>
      <c r="V128" s="72"/>
      <c r="W128" s="72"/>
      <c r="X128" s="14"/>
      <c r="Y128" s="72"/>
      <c r="Z128" s="70"/>
      <c r="AA128" s="70"/>
      <c r="AB128" s="83"/>
    </row>
    <row r="129" spans="2:28" x14ac:dyDescent="0.25">
      <c r="L129" s="9" t="s">
        <v>35</v>
      </c>
      <c r="M129" s="81">
        <f>M122</f>
        <v>12500</v>
      </c>
      <c r="N129" s="70">
        <f t="shared" ref="N129:P129" si="6">N122</f>
        <v>12000</v>
      </c>
      <c r="O129" s="70">
        <f t="shared" si="6"/>
        <v>10500</v>
      </c>
      <c r="P129" s="70">
        <f t="shared" si="6"/>
        <v>7500</v>
      </c>
      <c r="Q129" s="7"/>
      <c r="R129" s="70"/>
      <c r="S129" s="70"/>
      <c r="T129" s="15"/>
      <c r="U129" s="7"/>
      <c r="V129" s="70"/>
      <c r="W129" s="70"/>
      <c r="X129" s="15"/>
      <c r="Y129" s="70"/>
      <c r="Z129" s="70"/>
      <c r="AA129" s="70"/>
      <c r="AB129" s="83"/>
    </row>
    <row r="130" spans="2:28" ht="24" thickBot="1" x14ac:dyDescent="0.4">
      <c r="B130" s="122" t="s">
        <v>124</v>
      </c>
      <c r="C130" s="119"/>
      <c r="D130" s="119"/>
      <c r="E130" s="119"/>
      <c r="F130" s="119"/>
      <c r="L130" s="9" t="s">
        <v>17</v>
      </c>
      <c r="M130" s="84">
        <f>M124</f>
        <v>11000</v>
      </c>
      <c r="N130" s="87">
        <f t="shared" ref="N130:P130" si="7">N124</f>
        <v>11000</v>
      </c>
      <c r="O130" s="87">
        <f t="shared" si="7"/>
        <v>9500</v>
      </c>
      <c r="P130" s="87">
        <f t="shared" si="7"/>
        <v>7000</v>
      </c>
      <c r="Q130" s="94"/>
      <c r="R130" s="87"/>
      <c r="S130" s="87"/>
      <c r="T130" s="91"/>
      <c r="U130" s="94"/>
      <c r="V130" s="87"/>
      <c r="W130" s="87"/>
      <c r="X130" s="91"/>
      <c r="Y130" s="87"/>
      <c r="Z130" s="87"/>
      <c r="AA130" s="87"/>
      <c r="AB130" s="88"/>
    </row>
    <row r="131" spans="2:28" ht="17.25" thickTop="1" thickBot="1" x14ac:dyDescent="0.3">
      <c r="B131" s="2"/>
    </row>
    <row r="132" spans="2:28" ht="18.75" x14ac:dyDescent="0.35">
      <c r="B132" s="17" t="s">
        <v>184</v>
      </c>
      <c r="C132" s="95">
        <f>IF(AC16="A",HLOOKUP(D13,M79:P88,AC17),IF(AC16="B",HLOOKUP(D13,Q79:T88,AC17),IF(AC16="C",HLOOKUP(D13,U79:X88,AC17),IF(AC16="D",HLOOKUP(D13,Y79:AB88,AC17),"NONE"))))</f>
        <v>9</v>
      </c>
      <c r="D132" s="23" t="s">
        <v>224</v>
      </c>
      <c r="E132" s="17" t="s">
        <v>212</v>
      </c>
      <c r="F132" s="95">
        <f>C132*C133*C134*C135*C136</f>
        <v>9</v>
      </c>
      <c r="G132" s="23" t="s">
        <v>227</v>
      </c>
    </row>
    <row r="133" spans="2:28" ht="19.5" thickBot="1" x14ac:dyDescent="0.4">
      <c r="B133" s="18" t="s">
        <v>185</v>
      </c>
      <c r="C133" s="96">
        <f>I107</f>
        <v>1</v>
      </c>
      <c r="D133" s="112" t="s">
        <v>214</v>
      </c>
      <c r="E133" s="19" t="s">
        <v>213</v>
      </c>
      <c r="F133" s="98">
        <f>0.9*F132*C140*C137*C145*10^-6</f>
        <v>26.405643599999998</v>
      </c>
      <c r="G133" s="114" t="s">
        <v>228</v>
      </c>
      <c r="L133" s="92" t="s">
        <v>165</v>
      </c>
    </row>
    <row r="134" spans="2:28" ht="18.75" x14ac:dyDescent="0.35">
      <c r="B134" s="18" t="s">
        <v>186</v>
      </c>
      <c r="C134" s="96">
        <f>IF(D15="No Mutual Support",1,IF(D15="3 in Mutual Support &lt; 610 mm apart",1.1,"N/A"))</f>
        <v>1</v>
      </c>
      <c r="D134" s="112" t="s">
        <v>215</v>
      </c>
    </row>
    <row r="135" spans="2:28" ht="26.25" x14ac:dyDescent="0.4">
      <c r="B135" s="18" t="s">
        <v>187</v>
      </c>
      <c r="C135" s="96">
        <f>IF(D16="Wet",IF(AC12&lt;=89,0.84,1),IF(D16="Dry",1,"N/A"))</f>
        <v>1</v>
      </c>
      <c r="D135" s="112" t="s">
        <v>216</v>
      </c>
      <c r="F135" s="140" t="str">
        <f>IF(F133&gt;I106,"OK","Member fails in bending!")</f>
        <v>OK</v>
      </c>
      <c r="G135" s="140"/>
    </row>
    <row r="136" spans="2:28" ht="18.75" x14ac:dyDescent="0.35">
      <c r="B136" s="18" t="s">
        <v>188</v>
      </c>
      <c r="C136" s="96">
        <f>IF(D17="Other (incl. Fire Retardant)","Need Test Results",IF(D17="Treatment Incised",IF(AC12&lt;=89,IF(D16="Dry",0.75,0.85),1),1))</f>
        <v>1</v>
      </c>
      <c r="D136" s="112" t="s">
        <v>217</v>
      </c>
    </row>
    <row r="137" spans="2:28" ht="18.75" x14ac:dyDescent="0.35">
      <c r="B137" s="18" t="s">
        <v>189</v>
      </c>
      <c r="C137" s="97">
        <f>IF(AND(AC13=L108,AND(AC12&gt;=38,AC12&lt;=64)),M108,IF(AND(AC13=L109,AND(AC12&gt;=38,AC12&lt;=64)),M109,IF(AND(AC13=L110,AND(AC12&gt;=38,AC12&lt;=64)),M110,IF(AND(AC13=L110,AND(AC12&gt;=89,AC12&lt;=102)),N110,IF(AND(AC13=L111,AND(AC12&gt;=38,AC12&lt;=64)),M111,IF(AND(AC13=L111,AND(AC12&gt;=89,AC12&lt;=102)),N111,IF(AND(AC13=L111,AND(AC12&gt;=114)),O111,IF(AND(AC13=L112,AND(AC12&gt;=38,AC12&lt;=64)),M112,IF(AND(AC13=L112,AND(AC12&gt;=89,AC12&lt;=102)),N112,IF(AND(AC13=L112,AND(AC12&gt;=114)),O112,IF(AND(AND(AC13&gt;=184,AC13&lt;=191),AND(AC12&gt;=38,AC12&lt;=64)),M113,IF(AND(AND(AC13&gt;=184,AC13&lt;=191),AND(AC12&gt;=89,AC12&lt;=102)),N113,IF(AND(AND(AC13&gt;=184,AC13&lt;=191),AND(AC12&gt;=114)),O113,IF(AND(AND(AC13&gt;=235,AC13&lt;=241),AND(AC12&gt;=38,AC12&lt;=64)),M114,IF(AND(AND(AC13&gt;=235,AC13&lt;=241),AND(AC12&gt;=89,AC12&lt;=102)),N114,IF(AND(AND(AC13&gt;=235,AC13&lt;=241),AND(AC12&gt;=114)),O114,IF(AND(AND(AC13&gt;=286,AC13&lt;=292),AND(AC12&gt;=38,AC12&lt;=64)),M115,IF(AND(AND(AC13&gt;=286,AC13&lt;=292),AND(AC12&gt;=89,AC12&lt;=102)),N115,IF(AND(AND(AC13&gt;=286,AC13&lt;=292),AND(AC12&gt;=114)),O115,IF(AND(AND(AC13&gt;=337,AC13&lt;=343),AND(AC12&gt;=38,AC12&lt;=64)),M116,IF(AND(AND(AC13&gt;=337,AC13&lt;=343),AND(AC12&gt;=89,AC12&lt;=102)),N116,IF(AND(AND(AC13&gt;=337,AC13&lt;=343),AND(AC12&gt;=114)),O116,IF(AND(AC13&gt;=387,AND(AC12&gt;=38,AC12&lt;=64)),M117,IF(AND(AC13&gt;=387,AND(AC12&gt;=89,AC12&lt;=102)),N117,IF(AND(AC13&gt;=387,AND(AC12&gt;=114)),O117,"N/A")))))))))))))))))))))))))</f>
        <v>0.9</v>
      </c>
      <c r="D137" s="112" t="s">
        <v>218</v>
      </c>
    </row>
    <row r="138" spans="2:28" ht="18.75" x14ac:dyDescent="0.35">
      <c r="B138" s="18" t="s">
        <v>190</v>
      </c>
      <c r="C138" s="97">
        <f>IF(D16="Wet",IF(AC12&lt;=89,0.94,1),IF(D16="Dry",1,"N/A"))</f>
        <v>1</v>
      </c>
      <c r="D138" s="112" t="s">
        <v>216</v>
      </c>
    </row>
    <row r="139" spans="2:28" ht="18.75" x14ac:dyDescent="0.35">
      <c r="B139" s="18" t="s">
        <v>191</v>
      </c>
      <c r="C139" s="97">
        <f>1</f>
        <v>1</v>
      </c>
      <c r="D139" s="112" t="s">
        <v>219</v>
      </c>
    </row>
    <row r="140" spans="2:28" ht="18" x14ac:dyDescent="0.25">
      <c r="B140" s="18" t="s">
        <v>140</v>
      </c>
      <c r="C140" s="97">
        <f>1/6*D22*D23^2</f>
        <v>3622173.333333333</v>
      </c>
      <c r="D140" s="24" t="s">
        <v>220</v>
      </c>
    </row>
    <row r="141" spans="2:28" x14ac:dyDescent="0.25">
      <c r="B141" s="18" t="s">
        <v>138</v>
      </c>
      <c r="C141" s="97">
        <f>IF(AC16="A",HLOOKUP(D13,M121:P130,AC17),IF(AC16="B",HLOOKUP(D13,Q121:T130,AC17),IF(AC16="C",HLOOKUP(D13,U121:X130,AC17),IF(AC16="D",HLOOKUP(D13,Y121:AB130,AC17),"NONE"))))</f>
        <v>9500</v>
      </c>
      <c r="D141" s="24" t="s">
        <v>221</v>
      </c>
    </row>
    <row r="142" spans="2:28" ht="18.75" x14ac:dyDescent="0.35">
      <c r="B142" s="18" t="s">
        <v>222</v>
      </c>
      <c r="C142" s="96">
        <f>1.92*D26</f>
        <v>960</v>
      </c>
      <c r="D142" s="24" t="s">
        <v>223</v>
      </c>
    </row>
    <row r="143" spans="2:28" ht="18.75" x14ac:dyDescent="0.35">
      <c r="B143" s="18" t="s">
        <v>192</v>
      </c>
      <c r="C143" s="96">
        <f>SQRT((C142*D23)/(D22^2))</f>
        <v>4.3929442500074449</v>
      </c>
      <c r="D143" s="24" t="str">
        <f>IF(C143&lt;=50,"Cb&lt;=50, OK!","Cb&gt;50, Member Fails!")</f>
        <v>Cb&lt;=50, OK!</v>
      </c>
    </row>
    <row r="144" spans="2:28" ht="18.75" x14ac:dyDescent="0.35">
      <c r="B144" s="18" t="s">
        <v>193</v>
      </c>
      <c r="C144" s="96" t="str">
        <f>IF(C143&gt;10,SQRT((0.97*C141*C138*C136)/(C132)),"Do not need to calculate")</f>
        <v>Do not need to calculate</v>
      </c>
      <c r="D144" s="24"/>
    </row>
    <row r="145" spans="2:7" ht="19.5" thickBot="1" x14ac:dyDescent="0.4">
      <c r="B145" s="19" t="s">
        <v>194</v>
      </c>
      <c r="C145" s="98">
        <f>IF(C143&lt;=10,1,IF(AND(C143&gt;10,C143&lt;=C144),1-(1/3)*(C143/C144)^4,IF(AND(C143&gt;C144,C143&lt;=50),(0.65*C141*C138*C136)/(C143^2*F132*C139),"Member Fails!")))</f>
        <v>1</v>
      </c>
      <c r="D145" s="129" t="s">
        <v>173</v>
      </c>
    </row>
    <row r="146" spans="2:7" x14ac:dyDescent="0.25">
      <c r="B146" s="5"/>
      <c r="C146" s="41"/>
    </row>
    <row r="147" spans="2:7" x14ac:dyDescent="0.25">
      <c r="B147" s="5"/>
      <c r="C147" s="41"/>
    </row>
    <row r="148" spans="2:7" x14ac:dyDescent="0.25">
      <c r="B148" s="5"/>
      <c r="C148" s="41"/>
    </row>
    <row r="149" spans="2:7" ht="24" thickBot="1" x14ac:dyDescent="0.4">
      <c r="B149" s="123" t="s">
        <v>142</v>
      </c>
      <c r="C149" s="124"/>
      <c r="D149" s="119"/>
      <c r="E149" s="119"/>
      <c r="F149" s="119"/>
    </row>
    <row r="150" spans="2:7" ht="17.25" thickTop="1" thickBot="1" x14ac:dyDescent="0.3"/>
    <row r="151" spans="2:7" ht="18.75" x14ac:dyDescent="0.35">
      <c r="B151" s="17" t="s">
        <v>195</v>
      </c>
      <c r="C151" s="26">
        <f>IF(AC16="A",HLOOKUP(D13,M94:P103,AC17),IF(AC16="B",HLOOKUP(D13,Q94:T103,AC17),IF(AC16="C",HLOOKUP(D13,U94:X103,AC17),IF(AC16="D",HLOOKUP(D13,Y94:AB103,AC17),"NONE"))))</f>
        <v>1.5</v>
      </c>
      <c r="D151" s="113" t="s">
        <v>224</v>
      </c>
      <c r="E151" s="17" t="s">
        <v>199</v>
      </c>
      <c r="F151" s="95">
        <f>C151*C133*C134*C152*C136</f>
        <v>1.5</v>
      </c>
      <c r="G151" s="115" t="s">
        <v>229</v>
      </c>
    </row>
    <row r="152" spans="2:7" ht="19.5" thickBot="1" x14ac:dyDescent="0.4">
      <c r="B152" s="18" t="s">
        <v>196</v>
      </c>
      <c r="C152" s="8">
        <f>IF(D16="Wet",IF(AC12&lt;=89,0.96,1),IF(D16="Dry",1,"N/A"))</f>
        <v>1</v>
      </c>
      <c r="D152" s="112" t="s">
        <v>216</v>
      </c>
      <c r="E152" s="19" t="s">
        <v>200</v>
      </c>
      <c r="F152" s="98">
        <f>0.9*F151*2*C154/3*C153*10^-3</f>
        <v>40.370400000000004</v>
      </c>
      <c r="G152" s="114" t="s">
        <v>230</v>
      </c>
    </row>
    <row r="153" spans="2:7" ht="18.75" x14ac:dyDescent="0.35">
      <c r="B153" s="18" t="s">
        <v>197</v>
      </c>
      <c r="C153" s="96">
        <f>C137</f>
        <v>0.9</v>
      </c>
      <c r="D153" s="112" t="s">
        <v>218</v>
      </c>
    </row>
    <row r="154" spans="2:7" ht="26.25" x14ac:dyDescent="0.4">
      <c r="B154" s="18" t="s">
        <v>198</v>
      </c>
      <c r="C154" s="8">
        <f>H23</f>
        <v>49840</v>
      </c>
      <c r="D154" s="117" t="s">
        <v>237</v>
      </c>
      <c r="F154" s="140" t="str">
        <f>IF(F152&gt;I79,"OK","Member fails in shear!")</f>
        <v>OK</v>
      </c>
      <c r="G154" s="140"/>
    </row>
    <row r="155" spans="2:7" ht="19.5" thickBot="1" x14ac:dyDescent="0.4">
      <c r="B155" s="19" t="s">
        <v>185</v>
      </c>
      <c r="C155" s="27">
        <f>I80</f>
        <v>1</v>
      </c>
      <c r="D155" s="116" t="s">
        <v>214</v>
      </c>
    </row>
    <row r="159" spans="2:7" ht="24" thickBot="1" x14ac:dyDescent="0.4">
      <c r="B159" s="122" t="s">
        <v>144</v>
      </c>
      <c r="C159" s="119"/>
      <c r="D159" s="119"/>
      <c r="E159" s="119"/>
      <c r="F159" s="119"/>
    </row>
    <row r="160" spans="2:7" ht="17.25" thickTop="1" thickBot="1" x14ac:dyDescent="0.3"/>
    <row r="161" spans="2:12" ht="18.75" x14ac:dyDescent="0.35">
      <c r="B161" s="17" t="s">
        <v>201</v>
      </c>
      <c r="C161" s="95">
        <f>0.5</f>
        <v>0.5</v>
      </c>
      <c r="D161" s="23" t="s">
        <v>225</v>
      </c>
      <c r="E161" s="17" t="s">
        <v>233</v>
      </c>
      <c r="F161" s="95">
        <f>C161*C162*C134*C163*C136</f>
        <v>0.5</v>
      </c>
      <c r="G161" s="115" t="s">
        <v>231</v>
      </c>
    </row>
    <row r="162" spans="2:12" ht="19.5" thickBot="1" x14ac:dyDescent="0.4">
      <c r="B162" s="18" t="s">
        <v>185</v>
      </c>
      <c r="C162" s="96">
        <f>I80</f>
        <v>1</v>
      </c>
      <c r="D162" s="112" t="s">
        <v>214</v>
      </c>
      <c r="E162" s="19" t="s">
        <v>234</v>
      </c>
      <c r="F162" s="98">
        <f>0.9*F161*C167*C166*10^-3</f>
        <v>36.682069145856786</v>
      </c>
      <c r="G162" s="114" t="s">
        <v>232</v>
      </c>
    </row>
    <row r="163" spans="2:12" ht="18.75" x14ac:dyDescent="0.35">
      <c r="B163" s="18" t="s">
        <v>202</v>
      </c>
      <c r="C163" s="96">
        <f>IF(D16="Wet",0.7,1)</f>
        <v>1</v>
      </c>
      <c r="D163" s="24" t="s">
        <v>238</v>
      </c>
    </row>
    <row r="164" spans="2:12" ht="26.25" x14ac:dyDescent="0.4">
      <c r="B164" s="18" t="s">
        <v>204</v>
      </c>
      <c r="C164" s="127">
        <f>1-(D25/D23)</f>
        <v>0.90355329949238583</v>
      </c>
      <c r="D164" s="126" t="s">
        <v>226</v>
      </c>
      <c r="F164" s="140" t="str">
        <f>IF(F162&gt;I79,"OK","Member fails in notch shear!")</f>
        <v>OK</v>
      </c>
      <c r="G164" s="140"/>
    </row>
    <row r="165" spans="2:12" x14ac:dyDescent="0.25">
      <c r="B165" s="18" t="s">
        <v>205</v>
      </c>
      <c r="C165" s="96">
        <f>D24/D23</f>
        <v>0.25380710659898476</v>
      </c>
      <c r="D165" s="112" t="s">
        <v>226</v>
      </c>
    </row>
    <row r="166" spans="2:12" ht="18.75" x14ac:dyDescent="0.35">
      <c r="B166" s="18" t="s">
        <v>203</v>
      </c>
      <c r="C166" s="96">
        <f>(0.006*D23*(1.6*((1/C164)-1)+(C165)^2*((1/(C164^3))-1)))^(-0.5)</f>
        <v>1.4778047355513975</v>
      </c>
      <c r="D166" s="112" t="s">
        <v>226</v>
      </c>
    </row>
    <row r="167" spans="2:12" ht="19.5" thickBot="1" x14ac:dyDescent="0.4">
      <c r="B167" s="19" t="s">
        <v>206</v>
      </c>
      <c r="C167" s="128">
        <f>H22</f>
        <v>55160</v>
      </c>
      <c r="D167" s="114" t="s">
        <v>207</v>
      </c>
    </row>
    <row r="172" spans="2:12" ht="24" thickBot="1" x14ac:dyDescent="0.4">
      <c r="B172" s="122" t="s">
        <v>145</v>
      </c>
      <c r="C172" s="119"/>
      <c r="D172" s="119"/>
      <c r="E172" s="119"/>
      <c r="F172" s="119"/>
    </row>
    <row r="173" spans="2:12" ht="16.5" thickTop="1" x14ac:dyDescent="0.25">
      <c r="B173" s="5"/>
      <c r="L173" s="34">
        <v>0.96385182000000003</v>
      </c>
    </row>
    <row r="174" spans="2:12" ht="16.5" thickBot="1" x14ac:dyDescent="0.3">
      <c r="B174" t="s">
        <v>235</v>
      </c>
    </row>
    <row r="175" spans="2:12" x14ac:dyDescent="0.25">
      <c r="B175" s="59"/>
      <c r="C175" s="60" t="s">
        <v>70</v>
      </c>
      <c r="D175" s="61" t="s">
        <v>115</v>
      </c>
    </row>
    <row r="176" spans="2:12" x14ac:dyDescent="0.25">
      <c r="B176" s="62">
        <v>1</v>
      </c>
      <c r="C176" s="63" t="s">
        <v>147</v>
      </c>
      <c r="D176" s="64">
        <f>D50</f>
        <v>1</v>
      </c>
    </row>
    <row r="177" spans="2:13" x14ac:dyDescent="0.25">
      <c r="B177" s="65" t="s">
        <v>72</v>
      </c>
      <c r="C177" s="63" t="s">
        <v>148</v>
      </c>
      <c r="D177" s="64">
        <f>D50+D51</f>
        <v>4</v>
      </c>
    </row>
    <row r="178" spans="2:13" x14ac:dyDescent="0.25">
      <c r="B178" s="65" t="s">
        <v>74</v>
      </c>
      <c r="C178" s="63" t="s">
        <v>149</v>
      </c>
      <c r="D178" s="64">
        <f>D177+0.5*D52</f>
        <v>4</v>
      </c>
    </row>
    <row r="179" spans="2:13" x14ac:dyDescent="0.25">
      <c r="B179" s="65" t="s">
        <v>76</v>
      </c>
      <c r="C179" s="63" t="s">
        <v>150</v>
      </c>
      <c r="D179" s="64">
        <f>D177+0.4*D53</f>
        <v>4</v>
      </c>
    </row>
    <row r="180" spans="2:13" x14ac:dyDescent="0.25">
      <c r="B180" s="65" t="s">
        <v>84</v>
      </c>
      <c r="C180" s="63" t="s">
        <v>151</v>
      </c>
      <c r="D180" s="64">
        <f>D50+D52</f>
        <v>1</v>
      </c>
    </row>
    <row r="181" spans="2:13" x14ac:dyDescent="0.25">
      <c r="B181" s="65" t="s">
        <v>86</v>
      </c>
      <c r="C181" s="63" t="s">
        <v>172</v>
      </c>
      <c r="D181" s="64">
        <f>D180+0.5*D51</f>
        <v>2.5</v>
      </c>
    </row>
    <row r="182" spans="2:13" x14ac:dyDescent="0.25">
      <c r="B182" s="65" t="s">
        <v>88</v>
      </c>
      <c r="C182" s="63" t="s">
        <v>152</v>
      </c>
      <c r="D182" s="64">
        <f>D180+0.4*D53</f>
        <v>1</v>
      </c>
    </row>
    <row r="183" spans="2:13" x14ac:dyDescent="0.25">
      <c r="B183" s="65" t="s">
        <v>96</v>
      </c>
      <c r="C183" s="63" t="s">
        <v>153</v>
      </c>
      <c r="D183" s="64">
        <f>D50+D53</f>
        <v>1</v>
      </c>
    </row>
    <row r="184" spans="2:13" x14ac:dyDescent="0.25">
      <c r="B184" s="65" t="s">
        <v>86</v>
      </c>
      <c r="C184" s="63" t="s">
        <v>154</v>
      </c>
      <c r="D184" s="64">
        <f>D183+0.5*D51</f>
        <v>2.5</v>
      </c>
    </row>
    <row r="185" spans="2:13" x14ac:dyDescent="0.25">
      <c r="B185" s="65" t="s">
        <v>88</v>
      </c>
      <c r="C185" s="63" t="s">
        <v>155</v>
      </c>
      <c r="D185" s="64">
        <f>D183+0.5*D52</f>
        <v>1</v>
      </c>
    </row>
    <row r="186" spans="2:13" ht="16.5" thickBot="1" x14ac:dyDescent="0.3">
      <c r="B186" s="149" t="s">
        <v>114</v>
      </c>
      <c r="C186" s="152"/>
      <c r="D186" s="100">
        <f>MAX(D176:D185)</f>
        <v>4</v>
      </c>
      <c r="E186" s="99"/>
    </row>
    <row r="188" spans="2:13" ht="16.5" thickBot="1" x14ac:dyDescent="0.3"/>
    <row r="189" spans="2:13" ht="26.25" x14ac:dyDescent="0.4">
      <c r="B189" s="17" t="s">
        <v>156</v>
      </c>
      <c r="C189" s="95">
        <f>SQRT((D27*(D27+2*D28))/3)</f>
        <v>250</v>
      </c>
      <c r="D189" s="23" t="s">
        <v>41</v>
      </c>
      <c r="F189" s="140" t="str">
        <f>IF(C191&lt;=C192,"OK","Member fails in deflection")</f>
        <v>OK</v>
      </c>
      <c r="G189" s="140"/>
      <c r="L189" t="s">
        <v>174</v>
      </c>
      <c r="M189">
        <f>MAX(D27:D28)</f>
        <v>250</v>
      </c>
    </row>
    <row r="190" spans="2:13" ht="18" x14ac:dyDescent="0.25">
      <c r="B190" s="18" t="s">
        <v>146</v>
      </c>
      <c r="C190" s="96">
        <f>AC12*AC13^3/12</f>
        <v>713568146.66666663</v>
      </c>
      <c r="D190" s="24" t="s">
        <v>208</v>
      </c>
      <c r="L190" t="s">
        <v>175</v>
      </c>
      <c r="M190">
        <f>MIN(D27:D28)</f>
        <v>250</v>
      </c>
    </row>
    <row r="191" spans="2:13" x14ac:dyDescent="0.25">
      <c r="B191" s="18" t="s">
        <v>157</v>
      </c>
      <c r="C191" s="107">
        <f>IF(G14="Roofs and Floors",D186*10^3*M189*M190*(M189+2*M190)*SQRT(3*M189*(M189+2*M190))/(27*C141*C190*D26),IF(G14="Plastered or Gypsum Ceilings",D186*10^3*M189*M190*(M189+2*M190)*SQRT(3*M189*(M189+2*M190))/(27*C141*C190*D26),IF(G14="Roofs",D52*10^3*M189*M190*(M189+2*M190)*SQRT(3*M189*(M189+2*M190))/(27*C141*C190*D26),IF(G14="Floors",D51*10^3*M189*M190*(M189+2*M190)*SQRT(3*M189*(M189+2*M190))/(27*C141*C190*D26),"N/A"))))</f>
        <v>1.5366314110183872E-3</v>
      </c>
      <c r="D191" s="24" t="s">
        <v>41</v>
      </c>
    </row>
    <row r="192" spans="2:13" ht="16.5" thickBot="1" x14ac:dyDescent="0.3">
      <c r="B192" s="19" t="s">
        <v>158</v>
      </c>
      <c r="C192" s="98">
        <f>IF(G14="Roofs and Floors",D26/180,IF(G14="Plastered or Gypsum Ceilings",D26/360,IF(G14="Roofs",D26/240,IF(G14="Floors",D26/360,"N/A"))))</f>
        <v>2.7777777777777777</v>
      </c>
      <c r="D192" s="25" t="s">
        <v>41</v>
      </c>
    </row>
    <row r="197" spans="1:10" ht="21.75" thickBot="1" x14ac:dyDescent="0.4">
      <c r="A197" s="105" t="s">
        <v>168</v>
      </c>
      <c r="B197" s="56"/>
      <c r="C197" s="56"/>
      <c r="D197" s="56"/>
      <c r="E197" s="56"/>
      <c r="F197" s="56"/>
      <c r="G197" s="56"/>
      <c r="H197" s="56"/>
      <c r="I197" s="56"/>
      <c r="J197" s="56"/>
    </row>
    <row r="199" spans="1:10" x14ac:dyDescent="0.25">
      <c r="B199" t="s">
        <v>169</v>
      </c>
    </row>
    <row r="201" spans="1:10" x14ac:dyDescent="0.25">
      <c r="B201" t="s">
        <v>170</v>
      </c>
    </row>
  </sheetData>
  <mergeCells count="12">
    <mergeCell ref="A7:D7"/>
    <mergeCell ref="G14:H14"/>
    <mergeCell ref="F189:G189"/>
    <mergeCell ref="B60:G62"/>
    <mergeCell ref="G13:H13"/>
    <mergeCell ref="H24:I24"/>
    <mergeCell ref="B100:E100"/>
    <mergeCell ref="B127:E127"/>
    <mergeCell ref="F135:G135"/>
    <mergeCell ref="F154:G154"/>
    <mergeCell ref="F164:G164"/>
    <mergeCell ref="B186:C186"/>
  </mergeCells>
  <phoneticPr fontId="22" type="noConversion"/>
  <conditionalFormatting sqref="G25">
    <cfRule type="containsText" dxfId="21" priority="23" operator="containsText" text="OK">
      <formula>NOT(ISERROR(SEARCH("OK",G25)))</formula>
    </cfRule>
    <cfRule type="containsText" dxfId="20" priority="24" operator="containsText" text="!">
      <formula>NOT(ISERROR(SEARCH("!",G25)))</formula>
    </cfRule>
  </conditionalFormatting>
  <conditionalFormatting sqref="G27">
    <cfRule type="containsText" dxfId="19" priority="21" operator="containsText" text="Larger Dimension Valid">
      <formula>NOT(ISERROR(SEARCH("Larger Dimension Valid",G27)))</formula>
    </cfRule>
    <cfRule type="containsText" dxfId="18" priority="22" operator="containsText" text="Larger Dimension Not Valid">
      <formula>NOT(ISERROR(SEARCH("Larger Dimension Not Valid",G27)))</formula>
    </cfRule>
  </conditionalFormatting>
  <conditionalFormatting sqref="G28">
    <cfRule type="containsText" dxfId="17" priority="19" operator="containsText" text="Smaller Dimension Valid">
      <formula>NOT(ISERROR(SEARCH("Smaller Dimension Valid",G28)))</formula>
    </cfRule>
    <cfRule type="containsText" dxfId="16" priority="20" operator="containsText" text="Smaller Dimension Not Valid">
      <formula>NOT(ISERROR(SEARCH("Smaller Dimension Not Valid",G28)))</formula>
    </cfRule>
  </conditionalFormatting>
  <conditionalFormatting sqref="D143">
    <cfRule type="containsText" dxfId="15" priority="17" operator="containsText" text="Cb&gt;50, Member Fails!">
      <formula>NOT(ISERROR(SEARCH("Cb&gt;50, Member Fails!",D143)))</formula>
    </cfRule>
    <cfRule type="containsText" dxfId="14" priority="18" operator="containsText" text="Cb&lt;=50, OK!">
      <formula>NOT(ISERROR(SEARCH("Cb&lt;=50, OK!",D143)))</formula>
    </cfRule>
  </conditionalFormatting>
  <conditionalFormatting sqref="F135">
    <cfRule type="containsText" dxfId="13" priority="15" operator="containsText" text="Member fails in bending!">
      <formula>NOT(ISERROR(SEARCH("Member fails in bending!",F135)))</formula>
    </cfRule>
    <cfRule type="containsText" dxfId="12" priority="16" operator="containsText" text="OK">
      <formula>NOT(ISERROR(SEARCH("OK",F135)))</formula>
    </cfRule>
  </conditionalFormatting>
  <conditionalFormatting sqref="F154:G154">
    <cfRule type="containsText" dxfId="11" priority="13" operator="containsText" text="Member fails in shear!">
      <formula>NOT(ISERROR(SEARCH("Member fails in shear!",F154)))</formula>
    </cfRule>
    <cfRule type="containsText" dxfId="10" priority="14" operator="containsText" text="OK">
      <formula>NOT(ISERROR(SEARCH("OK",F154)))</formula>
    </cfRule>
  </conditionalFormatting>
  <conditionalFormatting sqref="F164:G164">
    <cfRule type="containsText" dxfId="9" priority="9" operator="containsText" text="Member fails in notch shear!">
      <formula>NOT(ISERROR(SEARCH("Member fails in notch shear!",F164)))</formula>
    </cfRule>
    <cfRule type="containsText" dxfId="8" priority="10" operator="containsText" text="OK">
      <formula>NOT(ISERROR(SEARCH("OK",F164)))</formula>
    </cfRule>
  </conditionalFormatting>
  <conditionalFormatting sqref="F189">
    <cfRule type="containsText" dxfId="7" priority="7" operator="containsText" text="OK">
      <formula>NOT(ISERROR(SEARCH("OK",F189)))</formula>
    </cfRule>
    <cfRule type="containsText" dxfId="6" priority="8" operator="containsText" text="Member fails in deflection">
      <formula>NOT(ISERROR(SEARCH("Member fails in deflection",F189)))</formula>
    </cfRule>
  </conditionalFormatting>
  <conditionalFormatting sqref="B60:G62">
    <cfRule type="containsText" dxfId="5" priority="5" operator="containsText" text="Member is OK!">
      <formula>NOT(ISERROR(SEARCH("Member is OK!",B60)))</formula>
    </cfRule>
    <cfRule type="containsText" dxfId="4" priority="6" operator="containsText" text="Member Fails!">
      <formula>NOT(ISERROR(SEARCH("Member Fails!",B60)))</formula>
    </cfRule>
  </conditionalFormatting>
  <conditionalFormatting sqref="F25">
    <cfRule type="containsText" dxfId="3" priority="3" operator="containsText" text="dn&gt;0.25d, Member Fails">
      <formula>NOT(ISERROR(SEARCH("dn&gt;0.25d, Member Fails",F25)))</formula>
    </cfRule>
    <cfRule type="containsText" dxfId="2" priority="4" operator="containsText" text="OK">
      <formula>NOT(ISERROR(SEARCH("OK",F25)))</formula>
    </cfRule>
  </conditionalFormatting>
  <conditionalFormatting sqref="F65:F68">
    <cfRule type="containsText" dxfId="1" priority="1" operator="containsText" text="Fails">
      <formula>NOT(ISERROR(SEARCH("Fails",F65)))</formula>
    </cfRule>
    <cfRule type="containsText" dxfId="0" priority="2" operator="containsText" text="OK">
      <formula>NOT(ISERROR(SEARCH("OK",F65)))</formula>
    </cfRule>
  </conditionalFormatting>
  <dataValidations count="8">
    <dataValidation type="list" allowBlank="1" showInputMessage="1" showErrorMessage="1" sqref="D13">
      <formula1>$L$13:$L$16</formula1>
    </dataValidation>
    <dataValidation type="list" allowBlank="1" showInputMessage="1" showErrorMessage="1" sqref="D14">
      <formula1>$M$13:$M$15</formula1>
    </dataValidation>
    <dataValidation type="list" allowBlank="1" showInputMessage="1" showErrorMessage="1" sqref="D15">
      <formula1>$O$13:$O$14</formula1>
    </dataValidation>
    <dataValidation type="list" allowBlank="1" showInputMessage="1" showErrorMessage="1" sqref="D16">
      <formula1>$O$17:$O$18</formula1>
    </dataValidation>
    <dataValidation type="list" allowBlank="1" showInputMessage="1" showErrorMessage="1" sqref="D17">
      <formula1>$U$13:$U$16</formula1>
    </dataValidation>
    <dataValidation type="list" allowBlank="1" showInputMessage="1" showErrorMessage="1" sqref="G14">
      <formula1>$S$13:$S$16</formula1>
    </dataValidation>
    <dataValidation type="list" errorStyle="information" allowBlank="1" sqref="D22">
      <formula1>$M$26:$M$30</formula1>
    </dataValidation>
    <dataValidation type="list" allowBlank="1" showInputMessage="1" showErrorMessage="1" sqref="D23">
      <formula1>$N$26:$N$31</formula1>
    </dataValidation>
  </dataValidations>
  <pageMargins left="0.75" right="0.75" top="1" bottom="1" header="0.5" footer="0.5"/>
  <pageSetup scale="44" fitToHeight="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Balogh</dc:creator>
  <cp:lastModifiedBy>Jeffrey Erochko</cp:lastModifiedBy>
  <cp:lastPrinted>2014-04-01T01:10:13Z</cp:lastPrinted>
  <dcterms:created xsi:type="dcterms:W3CDTF">2014-03-28T14:38:10Z</dcterms:created>
  <dcterms:modified xsi:type="dcterms:W3CDTF">2014-04-25T15:13:59Z</dcterms:modified>
</cp:coreProperties>
</file>