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f\Carleton\Teaching\CIVE4202 - Wood Engineering\2014\Term Project\Submissions\Posted Submissions\"/>
    </mc:Choice>
  </mc:AlternateContent>
  <bookViews>
    <workbookView xWindow="360" yWindow="135" windowWidth="9555" windowHeight="6975"/>
  </bookViews>
  <sheets>
    <sheet name="Main" sheetId="1" r:id="rId1"/>
    <sheet name="Lists" sheetId="2" r:id="rId2"/>
  </sheets>
  <definedNames>
    <definedName name="Condition">Lists!$C$2:$C$3</definedName>
    <definedName name="GluSpec">Lists!$A$6:$A$8</definedName>
    <definedName name="Grade">Lists!$G$2:$G$10</definedName>
    <definedName name="Kd">Lists!$K$2:$K$4</definedName>
    <definedName name="Loads">Lists!$I$2:$I$3</definedName>
    <definedName name="Service">Lists!$M$2:$M$3</definedName>
    <definedName name="Spec">Lists!$A$2:$A$8</definedName>
    <definedName name="TimOrGlu">Lists!$E$2:$E$3</definedName>
    <definedName name="TimSpec">Lists!$A$2:$A$5</definedName>
    <definedName name="Treatment">Lists!$I$6:$I$9</definedName>
  </definedNames>
  <calcPr calcId="152511"/>
</workbook>
</file>

<file path=xl/calcChain.xml><?xml version="1.0" encoding="utf-8"?>
<calcChain xmlns="http://schemas.openxmlformats.org/spreadsheetml/2006/main">
  <c r="D130" i="1" l="1"/>
  <c r="D131" i="1"/>
  <c r="D142" i="1"/>
  <c r="H47" i="1"/>
  <c r="H46" i="1"/>
  <c r="H44" i="1"/>
  <c r="H43" i="1"/>
  <c r="D14" i="2"/>
  <c r="E14" i="2"/>
  <c r="D15" i="2"/>
  <c r="E15" i="2"/>
  <c r="D16" i="2"/>
  <c r="E16" i="2"/>
  <c r="D17" i="2"/>
  <c r="E17" i="2"/>
  <c r="D18" i="2"/>
  <c r="F18" i="2" s="1"/>
  <c r="B18" i="2" s="1"/>
  <c r="E18" i="2"/>
  <c r="D19" i="2"/>
  <c r="E19" i="2"/>
  <c r="E13" i="2"/>
  <c r="D13" i="2"/>
  <c r="E109" i="1"/>
  <c r="E111" i="1"/>
  <c r="E115" i="1"/>
  <c r="E116" i="1"/>
  <c r="E117" i="1"/>
  <c r="D73" i="1"/>
  <c r="E120" i="1"/>
  <c r="E119" i="1"/>
  <c r="E118" i="1"/>
  <c r="E99" i="1"/>
  <c r="E114" i="1"/>
  <c r="E113" i="1"/>
  <c r="E112" i="1"/>
  <c r="E110" i="1"/>
  <c r="E98" i="1"/>
  <c r="E102" i="1"/>
  <c r="E101" i="1"/>
  <c r="E100" i="1"/>
  <c r="E97" i="1"/>
  <c r="E96" i="1"/>
  <c r="E108" i="1"/>
  <c r="E95" i="1"/>
  <c r="E91" i="1"/>
  <c r="E92" i="1" s="1"/>
  <c r="E130" i="1"/>
  <c r="F17" i="2" l="1"/>
  <c r="B17" i="2" s="1"/>
  <c r="F19" i="2"/>
  <c r="B19" i="2" s="1"/>
  <c r="F16" i="2"/>
  <c r="B16" i="2" s="1"/>
  <c r="F15" i="2"/>
  <c r="B15" i="2" s="1"/>
  <c r="F14" i="2"/>
  <c r="B14" i="2" s="1"/>
  <c r="F13" i="2"/>
  <c r="E104" i="1"/>
  <c r="E122" i="1"/>
  <c r="F130" i="1"/>
  <c r="E103" i="1"/>
  <c r="E121" i="1"/>
  <c r="E105" i="1" l="1"/>
  <c r="D75" i="1" s="1"/>
  <c r="B13" i="2"/>
  <c r="G41" i="1" s="1"/>
  <c r="J41" i="2" s="1"/>
  <c r="D30" i="2"/>
  <c r="E123" i="1"/>
  <c r="E30" i="2" l="1"/>
  <c r="H49" i="1" s="1"/>
  <c r="J52" i="2"/>
  <c r="J51" i="2"/>
  <c r="J32" i="2"/>
  <c r="J31" i="2"/>
  <c r="J22" i="2"/>
  <c r="J42" i="2"/>
  <c r="J21" i="2"/>
  <c r="F30" i="2"/>
  <c r="G30" i="2"/>
  <c r="H51" i="1"/>
  <c r="D181" i="1" s="1"/>
  <c r="D180" i="1"/>
  <c r="D144" i="1"/>
  <c r="D145" i="1" s="1"/>
  <c r="D143" i="1"/>
  <c r="D146" i="1" s="1"/>
  <c r="D134" i="1"/>
  <c r="D133" i="1"/>
  <c r="E131" i="1"/>
  <c r="H48" i="1" l="1"/>
  <c r="D157" i="1" s="1"/>
  <c r="D183" i="1"/>
  <c r="D184" i="1" s="1"/>
  <c r="D170" i="1"/>
  <c r="E132" i="1"/>
  <c r="E135" i="1" s="1"/>
  <c r="F135" i="1" s="1"/>
  <c r="D171" i="1"/>
  <c r="E133" i="1"/>
  <c r="F133" i="1" s="1"/>
  <c r="E134" i="1"/>
  <c r="F134" i="1" s="1"/>
  <c r="D132" i="1"/>
  <c r="F131" i="1"/>
  <c r="D182" i="1"/>
  <c r="D149" i="1"/>
  <c r="D148" i="1"/>
  <c r="D147" i="1"/>
  <c r="F132" i="1" l="1"/>
  <c r="D85" i="1"/>
  <c r="F85" i="1" s="1"/>
  <c r="D156" i="1"/>
  <c r="D167" i="1"/>
  <c r="F136" i="1"/>
  <c r="D135" i="1"/>
  <c r="D150" i="1"/>
  <c r="D159" i="1" l="1"/>
  <c r="D160" i="1" s="1"/>
  <c r="D161" i="1" s="1"/>
  <c r="D81" i="1" s="1"/>
  <c r="F81" i="1" s="1"/>
  <c r="D172" i="1"/>
  <c r="D173" i="1"/>
  <c r="F77" i="1"/>
  <c r="D151" i="1"/>
  <c r="D79" i="1" s="1"/>
  <c r="F79" i="1" s="1"/>
  <c r="D174" i="1" l="1"/>
  <c r="D175" i="1" s="1"/>
  <c r="D83" i="1" s="1"/>
  <c r="F83" i="1" s="1"/>
  <c r="C71" i="1" s="1"/>
</calcChain>
</file>

<file path=xl/sharedStrings.xml><?xml version="1.0" encoding="utf-8"?>
<sst xmlns="http://schemas.openxmlformats.org/spreadsheetml/2006/main" count="489" uniqueCount="238">
  <si>
    <t>Spaceing</t>
  </si>
  <si>
    <t>Row Spacing</t>
  </si>
  <si>
    <t>Unloaded Edge Distance</t>
  </si>
  <si>
    <t>Loaded End Distance</t>
  </si>
  <si>
    <t>Unloaded End Distnace</t>
  </si>
  <si>
    <t>Results</t>
  </si>
  <si>
    <t>Bolt Spacing</t>
  </si>
  <si>
    <t xml:space="preserve">Bolts  </t>
  </si>
  <si>
    <t>Shear Surfaces</t>
  </si>
  <si>
    <t>Bolt Yielding Resistance</t>
  </si>
  <si>
    <t>Loading</t>
  </si>
  <si>
    <t>Kd</t>
  </si>
  <si>
    <t>Kt</t>
  </si>
  <si>
    <t>Row Shear Resistance</t>
  </si>
  <si>
    <t>Kis</t>
  </si>
  <si>
    <t>fv</t>
  </si>
  <si>
    <t>acri</t>
  </si>
  <si>
    <t>Actual Spacing</t>
  </si>
  <si>
    <t>Phi w</t>
  </si>
  <si>
    <t>PRri</t>
  </si>
  <si>
    <t>Group Tearout</t>
  </si>
  <si>
    <t>ft</t>
  </si>
  <si>
    <t>PRi1</t>
  </si>
  <si>
    <t>PRinR</t>
  </si>
  <si>
    <t>Ksf</t>
  </si>
  <si>
    <t>APGi</t>
  </si>
  <si>
    <t>Hole Size</t>
  </si>
  <si>
    <t>Minimum Spacing</t>
  </si>
  <si>
    <t>Kh</t>
  </si>
  <si>
    <t>Kst</t>
  </si>
  <si>
    <t>Net Tension Resistance</t>
  </si>
  <si>
    <t>Ft</t>
  </si>
  <si>
    <t>An</t>
  </si>
  <si>
    <t>Kzt</t>
  </si>
  <si>
    <t>Tr</t>
  </si>
  <si>
    <t xml:space="preserve">Phy </t>
  </si>
  <si>
    <t>Ag</t>
  </si>
  <si>
    <t>Net Area Check</t>
  </si>
  <si>
    <t>Inputs</t>
  </si>
  <si>
    <t>Species</t>
  </si>
  <si>
    <t>Grade</t>
  </si>
  <si>
    <t>Service Condition</t>
  </si>
  <si>
    <t>Treatment</t>
  </si>
  <si>
    <t>D Fir-L</t>
  </si>
  <si>
    <t>Hem-Fir</t>
  </si>
  <si>
    <t>S-P-F</t>
  </si>
  <si>
    <t>Northern</t>
  </si>
  <si>
    <t>Timber Species</t>
  </si>
  <si>
    <t>Timber or Glulam</t>
  </si>
  <si>
    <t>Glulam</t>
  </si>
  <si>
    <t xml:space="preserve">Timber </t>
  </si>
  <si>
    <t>SS</t>
  </si>
  <si>
    <t>No.1</t>
  </si>
  <si>
    <t>No.2</t>
  </si>
  <si>
    <t>No.3</t>
  </si>
  <si>
    <t>Stud</t>
  </si>
  <si>
    <t>Width b =</t>
  </si>
  <si>
    <t>Depth d =</t>
  </si>
  <si>
    <t>Connection</t>
  </si>
  <si>
    <t>Bolts per Row =</t>
  </si>
  <si>
    <t># of Rows =</t>
  </si>
  <si>
    <t>Bolt Diameter =</t>
  </si>
  <si>
    <t>Bolt Fy =</t>
  </si>
  <si>
    <t>Timber Geometry</t>
  </si>
  <si>
    <t>Timber Properties</t>
  </si>
  <si>
    <t>Steel Plate Properties</t>
  </si>
  <si>
    <t>Fy =</t>
  </si>
  <si>
    <t>Fu =</t>
  </si>
  <si>
    <t>Thickness =</t>
  </si>
  <si>
    <t>mm</t>
  </si>
  <si>
    <t>Mpa</t>
  </si>
  <si>
    <t>MPa</t>
  </si>
  <si>
    <t>Loads</t>
  </si>
  <si>
    <t>Factored</t>
  </si>
  <si>
    <t>Specified</t>
  </si>
  <si>
    <t>1.4D</t>
  </si>
  <si>
    <t>2a</t>
  </si>
  <si>
    <t>1.25D + 1.5L</t>
  </si>
  <si>
    <t>2b</t>
  </si>
  <si>
    <t>1.25D + 1.5L + 0.5S</t>
  </si>
  <si>
    <t>2c</t>
  </si>
  <si>
    <t>1.25D + 1.5L + 0.4W</t>
  </si>
  <si>
    <t>2d</t>
  </si>
  <si>
    <t>0.9D + 1.5L</t>
  </si>
  <si>
    <t>2e</t>
  </si>
  <si>
    <t>0.9D + 1.5L + 0.5S</t>
  </si>
  <si>
    <t>2f</t>
  </si>
  <si>
    <t>0.9D + 1.5L + 0.4W</t>
  </si>
  <si>
    <t>3a</t>
  </si>
  <si>
    <t>1.25D + 1.5S</t>
  </si>
  <si>
    <t>3b</t>
  </si>
  <si>
    <t>1.25D + 1.5S + 0.5L</t>
  </si>
  <si>
    <t>3c</t>
  </si>
  <si>
    <t>1.25D + 1.5S + 0.4W</t>
  </si>
  <si>
    <t>3d</t>
  </si>
  <si>
    <t>0.9D + 1.5S</t>
  </si>
  <si>
    <t>3e</t>
  </si>
  <si>
    <t>0.9D + 1.5S + 0.5L</t>
  </si>
  <si>
    <t>3f</t>
  </si>
  <si>
    <t>0.9D + 1.5S + 0.4W</t>
  </si>
  <si>
    <t>4a</t>
  </si>
  <si>
    <t>1.25D + 1.4W</t>
  </si>
  <si>
    <t>4b</t>
  </si>
  <si>
    <t>1.25D + 1.4W + 0.5L</t>
  </si>
  <si>
    <t>4c</t>
  </si>
  <si>
    <t>1.25D + 1.4W + 0.5S</t>
  </si>
  <si>
    <t>4d</t>
  </si>
  <si>
    <t>0.9D + 1.4W</t>
  </si>
  <si>
    <t>4e</t>
  </si>
  <si>
    <t>0.9D + 1.4W + 0.5L</t>
  </si>
  <si>
    <t>4f</t>
  </si>
  <si>
    <t>0.9D + 1.4W + 0.5S</t>
  </si>
  <si>
    <t>5a</t>
  </si>
  <si>
    <t>1.0D + 1.0E</t>
  </si>
  <si>
    <t>5b</t>
  </si>
  <si>
    <t>1.0D + 1.0E + 0.5L</t>
  </si>
  <si>
    <t>5c</t>
  </si>
  <si>
    <t>1.0D + 1.0E + 0.25S</t>
  </si>
  <si>
    <t>kN</t>
  </si>
  <si>
    <t>Max =</t>
  </si>
  <si>
    <t>Kd = 0.65</t>
  </si>
  <si>
    <t>Kd = 1.0</t>
  </si>
  <si>
    <t>Kd = 1.15</t>
  </si>
  <si>
    <t>Dead =</t>
  </si>
  <si>
    <t>Live =</t>
  </si>
  <si>
    <t>Wind =</t>
  </si>
  <si>
    <t>Snow =</t>
  </si>
  <si>
    <t>Earthquake =</t>
  </si>
  <si>
    <t>Combination</t>
  </si>
  <si>
    <t>Tf</t>
  </si>
  <si>
    <t>Load Combinations</t>
  </si>
  <si>
    <t>Wet</t>
  </si>
  <si>
    <t>Dry</t>
  </si>
  <si>
    <t>Bolt Spacing =</t>
  </si>
  <si>
    <t>Bolt Yielding Resistance =</t>
  </si>
  <si>
    <t>Row Shear Resistance =</t>
  </si>
  <si>
    <t>Net Tension Resistance =</t>
  </si>
  <si>
    <t>Spacing</t>
  </si>
  <si>
    <t>Bolt Spacing*</t>
  </si>
  <si>
    <t>Excess Lateral Spacing</t>
  </si>
  <si>
    <t>End Spacing</t>
  </si>
  <si>
    <t>Check</t>
  </si>
  <si>
    <t>Calculations</t>
  </si>
  <si>
    <t>Factored or Specified*</t>
  </si>
  <si>
    <t>*Tension (+) Compression (-)</t>
  </si>
  <si>
    <t xml:space="preserve">Min = </t>
  </si>
  <si>
    <t>Min =</t>
  </si>
  <si>
    <t>Govern =</t>
  </si>
  <si>
    <t>KN</t>
  </si>
  <si>
    <t>§10.4.4.3.3.2</t>
  </si>
  <si>
    <t>§10.4.4.3.3.1</t>
  </si>
  <si>
    <t>N</t>
  </si>
  <si>
    <t>§10.4.4.3.2</t>
  </si>
  <si>
    <t>§10.4.4.3.1</t>
  </si>
  <si>
    <t>§10.4.3.1</t>
  </si>
  <si>
    <t>Table A.10.1</t>
  </si>
  <si>
    <t>phi s =</t>
  </si>
  <si>
    <t>phi y =</t>
  </si>
  <si>
    <t>G =</t>
  </si>
  <si>
    <t>f1 =</t>
  </si>
  <si>
    <t>fip =</t>
  </si>
  <si>
    <t>f2 =</t>
  </si>
  <si>
    <t>Case a =</t>
  </si>
  <si>
    <t>Case c =</t>
  </si>
  <si>
    <t>Case d =</t>
  </si>
  <si>
    <t>Case g =</t>
  </si>
  <si>
    <t>Nr =</t>
  </si>
  <si>
    <t>§10.4.4.4</t>
  </si>
  <si>
    <t>mm^2</t>
  </si>
  <si>
    <t>§5.5.9</t>
  </si>
  <si>
    <t>§10.4.4.6.2</t>
  </si>
  <si>
    <t>§10.4.4.5</t>
  </si>
  <si>
    <t>PRrt</t>
  </si>
  <si>
    <t>Prijmin</t>
  </si>
  <si>
    <t>PGrT</t>
  </si>
  <si>
    <t>PGri</t>
  </si>
  <si>
    <t>* If no inputs, leave cells blank,</t>
  </si>
  <si>
    <t xml:space="preserve"> minimum spacing assumed for calulations </t>
  </si>
  <si>
    <t xml:space="preserve">Pf or Tf* = </t>
  </si>
  <si>
    <t>* Be sure to check all possible loading durations</t>
  </si>
  <si>
    <t>Construction</t>
  </si>
  <si>
    <t>Standard</t>
  </si>
  <si>
    <t>Light Framing</t>
  </si>
  <si>
    <t>Structural Light Framing</t>
  </si>
  <si>
    <t>Structural Joists and Planks</t>
  </si>
  <si>
    <t>Beam and Stringer</t>
  </si>
  <si>
    <t>Post and Timber</t>
  </si>
  <si>
    <t>Plank Decking</t>
  </si>
  <si>
    <t>smaller</t>
  </si>
  <si>
    <t>Larger</t>
  </si>
  <si>
    <t>Select</t>
  </si>
  <si>
    <t>Commercial</t>
  </si>
  <si>
    <t>Table 5.2.2.1</t>
  </si>
  <si>
    <t>Table 4.3.2.2</t>
  </si>
  <si>
    <t>Condition of Lumber</t>
  </si>
  <si>
    <t>condition of lumber</t>
  </si>
  <si>
    <t>Seasoned</t>
  </si>
  <si>
    <t>Unseasoned</t>
  </si>
  <si>
    <t xml:space="preserve">Treatment Factor </t>
  </si>
  <si>
    <t>None</t>
  </si>
  <si>
    <t>Treatment Unincised</t>
  </si>
  <si>
    <t>Treatment Incised</t>
  </si>
  <si>
    <t>Other (incl. Fire Retardant)</t>
  </si>
  <si>
    <t>Table 5.4.3</t>
  </si>
  <si>
    <t>Table 5.4.4</t>
  </si>
  <si>
    <t>Table 10.2.1.5</t>
  </si>
  <si>
    <t>Table 5.4.2</t>
  </si>
  <si>
    <t>Table 5.4.5</t>
  </si>
  <si>
    <t>A</t>
  </si>
  <si>
    <t>B</t>
  </si>
  <si>
    <t>C</t>
  </si>
  <si>
    <t>D</t>
  </si>
  <si>
    <t>Table</t>
  </si>
  <si>
    <t>Index</t>
  </si>
  <si>
    <t>In Use</t>
  </si>
  <si>
    <t>N/A</t>
  </si>
  <si>
    <t>For EDUCATIONAL PURPOSES ONLY - Not for use as a design aid</t>
  </si>
  <si>
    <t>Michael Abma, Carleton University, Ottawa, Ontario, Canada</t>
  </si>
  <si>
    <t>April, 2014</t>
  </si>
  <si>
    <t>Mississauga, ON: Canadian Standards Association.</t>
  </si>
  <si>
    <t xml:space="preserve">Canadian Standards Association (CSA) (2010) O86-09 Engineering design in wood with Update No.1. </t>
  </si>
  <si>
    <t>Reference</t>
  </si>
  <si>
    <t>Design of S-W-S Bolted Connection Load Parallel to Grain, Based on CAN/CSA-O86-09</t>
  </si>
  <si>
    <t>Notes</t>
  </si>
  <si>
    <t>Design Aid Limitations</t>
  </si>
  <si>
    <t>Bolt spacing must be the same for each row</t>
  </si>
  <si>
    <t>Row spacing between 3 or more rows must be the same</t>
  </si>
  <si>
    <t>Bolts in each row must be directly above or below the adjacent rows botls (ie no skewed bolt pattern)</t>
  </si>
  <si>
    <t>Bolt rows must be parallel with the direction of the grain</t>
  </si>
  <si>
    <t>Other Notes</t>
  </si>
  <si>
    <t>See diagram below</t>
  </si>
  <si>
    <t xml:space="preserve">Kd* = </t>
  </si>
  <si>
    <t>Only visually graded lumber can be used</t>
  </si>
  <si>
    <t>Indicates input required by the user</t>
  </si>
  <si>
    <t>Legend</t>
  </si>
  <si>
    <t>Group Tear Out Resistance =</t>
  </si>
  <si>
    <t>Type</t>
  </si>
  <si>
    <t>Check below for spacing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</si>
</sst>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Gill Sans MT"/>
      <family val="2"/>
    </font>
    <font>
      <sz val="16"/>
      <color rgb="FFFF0000"/>
      <name val="Gill Sans MT"/>
      <family val="2"/>
    </font>
    <font>
      <sz val="11"/>
      <color theme="1"/>
      <name val="Gill Sans MT"/>
      <family val="2"/>
    </font>
    <font>
      <sz val="14"/>
      <color theme="1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2" fillId="0" borderId="3" xfId="0" applyFont="1" applyBorder="1"/>
    <xf numFmtId="0" fontId="0" fillId="0" borderId="3" xfId="0" applyBorder="1"/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right"/>
    </xf>
    <xf numFmtId="0" fontId="0" fillId="4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Border="1"/>
    <xf numFmtId="0" fontId="0" fillId="2" borderId="1" xfId="0" applyFill="1" applyBorder="1"/>
    <xf numFmtId="0" fontId="0" fillId="0" borderId="3" xfId="0" applyBorder="1" applyAlignment="1">
      <alignment horizontal="center"/>
    </xf>
    <xf numFmtId="0" fontId="2" fillId="0" borderId="0" xfId="0" applyFont="1" applyBorder="1"/>
    <xf numFmtId="0" fontId="0" fillId="0" borderId="0" xfId="0" applyAlignment="1"/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17" fontId="5" fillId="0" borderId="0" xfId="0" quotePrefix="1" applyNumberFormat="1" applyFont="1" applyFill="1" applyBorder="1"/>
    <xf numFmtId="0" fontId="2" fillId="0" borderId="3" xfId="0" applyFont="1" applyFill="1" applyBorder="1"/>
    <xf numFmtId="0" fontId="0" fillId="0" borderId="3" xfId="0" applyFill="1" applyBorder="1"/>
    <xf numFmtId="17" fontId="6" fillId="0" borderId="3" xfId="0" applyNumberFormat="1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1">
    <cellStyle name="Normal" xfId="0" builtinId="0"/>
  </cellStyles>
  <dxfs count="1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707571</xdr:colOff>
      <xdr:row>17</xdr:row>
      <xdr:rowOff>81642</xdr:rowOff>
    </xdr:from>
    <xdr:to>
      <xdr:col>6</xdr:col>
      <xdr:colOff>122464</xdr:colOff>
      <xdr:row>34</xdr:row>
      <xdr:rowOff>100457</xdr:rowOff>
    </xdr:to>
    <xdr:pic>
      <xdr:nvPicPr>
        <xdr:cNvPr id="2" name="Picture 1" descr="Scan00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26821" y="3551463"/>
          <a:ext cx="4367893" cy="32573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tabSelected="1" topLeftCell="A181" zoomScale="70" zoomScaleNormal="70" workbookViewId="0">
      <selection activeCell="F83" sqref="F83:H83"/>
    </sheetView>
  </sheetViews>
  <sheetFormatPr defaultRowHeight="15" x14ac:dyDescent="0.25"/>
  <cols>
    <col min="1" max="1" width="7" bestFit="1" customWidth="1"/>
    <col min="2" max="2" width="17.42578125" customWidth="1"/>
    <col min="3" max="3" width="25.5703125" bestFit="1" customWidth="1"/>
    <col min="4" max="4" width="18.28515625" bestFit="1" customWidth="1"/>
    <col min="5" max="5" width="14.5703125" bestFit="1" customWidth="1"/>
    <col min="6" max="6" width="16" customWidth="1"/>
    <col min="7" max="7" width="16.42578125" customWidth="1"/>
    <col min="8" max="8" width="13.7109375" customWidth="1"/>
    <col min="9" max="9" width="6.85546875" customWidth="1"/>
    <col min="10" max="10" width="22.42578125" bestFit="1" customWidth="1"/>
    <col min="11" max="11" width="8" bestFit="1" customWidth="1"/>
    <col min="12" max="12" width="41.85546875" bestFit="1" customWidth="1"/>
  </cols>
  <sheetData>
    <row r="1" spans="1:9" ht="27.75" x14ac:dyDescent="0.55000000000000004">
      <c r="A1" s="24" t="s">
        <v>222</v>
      </c>
    </row>
    <row r="2" spans="1:9" ht="24.75" x14ac:dyDescent="0.5">
      <c r="A2" s="25" t="s">
        <v>216</v>
      </c>
    </row>
    <row r="3" spans="1:9" ht="17.25" x14ac:dyDescent="0.35">
      <c r="A3" s="26" t="s">
        <v>217</v>
      </c>
    </row>
    <row r="4" spans="1:9" ht="17.25" x14ac:dyDescent="0.35">
      <c r="A4" s="27" t="s">
        <v>218</v>
      </c>
    </row>
    <row r="5" spans="1:9" ht="17.25" x14ac:dyDescent="0.35">
      <c r="A5" s="27"/>
    </row>
    <row r="6" spans="1:9" ht="22.5" thickBot="1" x14ac:dyDescent="0.5">
      <c r="A6" s="30" t="s">
        <v>223</v>
      </c>
      <c r="B6" s="10"/>
      <c r="C6" s="10"/>
      <c r="D6" s="10"/>
      <c r="E6" s="10"/>
      <c r="F6" s="10"/>
      <c r="G6" s="10"/>
      <c r="H6" s="10"/>
      <c r="I6" s="10"/>
    </row>
    <row r="7" spans="1:9" ht="17.25" x14ac:dyDescent="0.35">
      <c r="A7" s="27"/>
    </row>
    <row r="8" spans="1:9" ht="17.25" x14ac:dyDescent="0.35">
      <c r="A8" s="27"/>
      <c r="B8" t="s">
        <v>224</v>
      </c>
    </row>
    <row r="9" spans="1:9" ht="17.25" x14ac:dyDescent="0.35">
      <c r="A9" s="27"/>
      <c r="C9" t="s">
        <v>225</v>
      </c>
    </row>
    <row r="10" spans="1:9" ht="17.25" x14ac:dyDescent="0.35">
      <c r="A10" s="27"/>
      <c r="C10" t="s">
        <v>227</v>
      </c>
    </row>
    <row r="11" spans="1:9" ht="17.25" x14ac:dyDescent="0.35">
      <c r="A11" s="27"/>
      <c r="C11" t="s">
        <v>228</v>
      </c>
    </row>
    <row r="12" spans="1:9" ht="17.25" x14ac:dyDescent="0.35">
      <c r="A12" s="27"/>
      <c r="C12" t="s">
        <v>226</v>
      </c>
    </row>
    <row r="13" spans="1:9" ht="17.25" x14ac:dyDescent="0.35">
      <c r="A13" s="27"/>
      <c r="C13" t="s">
        <v>232</v>
      </c>
    </row>
    <row r="14" spans="1:9" ht="17.25" x14ac:dyDescent="0.35">
      <c r="A14" s="27"/>
    </row>
    <row r="15" spans="1:9" ht="17.25" x14ac:dyDescent="0.35">
      <c r="A15" s="27"/>
      <c r="B15" t="s">
        <v>229</v>
      </c>
    </row>
    <row r="16" spans="1:9" ht="17.25" x14ac:dyDescent="0.35">
      <c r="A16" s="27"/>
      <c r="C16" t="s">
        <v>230</v>
      </c>
    </row>
    <row r="17" spans="1:1" ht="17.25" x14ac:dyDescent="0.35">
      <c r="A17" s="27"/>
    </row>
    <row r="18" spans="1:1" ht="17.25" x14ac:dyDescent="0.35">
      <c r="A18" s="27"/>
    </row>
    <row r="19" spans="1:1" ht="17.25" x14ac:dyDescent="0.35">
      <c r="A19" s="27"/>
    </row>
    <row r="20" spans="1:1" ht="17.25" x14ac:dyDescent="0.35">
      <c r="A20" s="27"/>
    </row>
    <row r="21" spans="1:1" ht="17.25" x14ac:dyDescent="0.35">
      <c r="A21" s="27"/>
    </row>
    <row r="22" spans="1:1" ht="17.25" x14ac:dyDescent="0.35">
      <c r="A22" s="27"/>
    </row>
    <row r="23" spans="1:1" ht="17.25" x14ac:dyDescent="0.35">
      <c r="A23" s="27"/>
    </row>
    <row r="24" spans="1:1" ht="17.25" x14ac:dyDescent="0.35">
      <c r="A24" s="27"/>
    </row>
    <row r="25" spans="1:1" ht="17.25" x14ac:dyDescent="0.35">
      <c r="A25" s="27"/>
    </row>
    <row r="26" spans="1:1" ht="17.25" x14ac:dyDescent="0.35">
      <c r="A26" s="27"/>
    </row>
    <row r="27" spans="1:1" ht="17.25" x14ac:dyDescent="0.35">
      <c r="A27" s="27"/>
    </row>
    <row r="28" spans="1:1" ht="17.25" x14ac:dyDescent="0.35">
      <c r="A28" s="27"/>
    </row>
    <row r="29" spans="1:1" ht="17.25" x14ac:dyDescent="0.35">
      <c r="A29" s="27"/>
    </row>
    <row r="30" spans="1:1" ht="17.25" x14ac:dyDescent="0.35">
      <c r="A30" s="27"/>
    </row>
    <row r="31" spans="1:1" ht="17.25" x14ac:dyDescent="0.35">
      <c r="A31" s="27"/>
    </row>
    <row r="32" spans="1:1" ht="17.25" x14ac:dyDescent="0.35">
      <c r="A32" s="27"/>
    </row>
    <row r="33" spans="1:9" ht="17.25" x14ac:dyDescent="0.35">
      <c r="A33" s="27"/>
    </row>
    <row r="34" spans="1:9" ht="17.25" x14ac:dyDescent="0.35">
      <c r="A34" s="27"/>
    </row>
    <row r="35" spans="1:9" ht="17.25" x14ac:dyDescent="0.35">
      <c r="A35" s="27"/>
    </row>
    <row r="36" spans="1:9" ht="17.25" x14ac:dyDescent="0.35">
      <c r="A36" s="27"/>
    </row>
    <row r="37" spans="1:9" ht="17.25" x14ac:dyDescent="0.35">
      <c r="A37" s="27"/>
    </row>
    <row r="38" spans="1:9" ht="19.5" thickBot="1" x14ac:dyDescent="0.35">
      <c r="A38" s="28" t="s">
        <v>38</v>
      </c>
      <c r="B38" s="29"/>
      <c r="C38" s="10"/>
      <c r="D38" s="10"/>
      <c r="E38" s="10"/>
      <c r="F38" s="10"/>
      <c r="G38" s="10"/>
      <c r="H38" s="10"/>
      <c r="I38" s="10"/>
    </row>
    <row r="40" spans="1:9" x14ac:dyDescent="0.25">
      <c r="B40" s="5" t="s">
        <v>64</v>
      </c>
      <c r="F40" s="5" t="s">
        <v>64</v>
      </c>
    </row>
    <row r="41" spans="1:9" x14ac:dyDescent="0.25">
      <c r="C41" s="2" t="s">
        <v>39</v>
      </c>
      <c r="D41" s="11" t="s">
        <v>45</v>
      </c>
      <c r="F41" s="16" t="s">
        <v>192</v>
      </c>
      <c r="G41" s="49" t="str">
        <f>VLOOKUP("OK",Lists!B13:C19,2,FALSE)</f>
        <v>Beam and Stringer</v>
      </c>
      <c r="H41" s="49"/>
    </row>
    <row r="42" spans="1:9" x14ac:dyDescent="0.25">
      <c r="C42" s="2" t="s">
        <v>40</v>
      </c>
      <c r="D42" s="11" t="s">
        <v>52</v>
      </c>
      <c r="F42" s="16" t="s">
        <v>193</v>
      </c>
      <c r="G42" t="s">
        <v>11</v>
      </c>
      <c r="H42" s="11">
        <v>1.1499999999999999</v>
      </c>
    </row>
    <row r="43" spans="1:9" x14ac:dyDescent="0.25">
      <c r="C43" s="2" t="s">
        <v>194</v>
      </c>
      <c r="D43" s="11" t="s">
        <v>196</v>
      </c>
      <c r="F43" s="16" t="s">
        <v>205</v>
      </c>
      <c r="G43" t="s">
        <v>24</v>
      </c>
      <c r="H43" s="1">
        <f>IF(D55=1,IF(D44="Dry",1,0.67),IF(D43="Seasoned",IF(D44="Dry",1,0.67),IF(D44="Dry",0.4,0.27)))</f>
        <v>0.67</v>
      </c>
    </row>
    <row r="44" spans="1:9" x14ac:dyDescent="0.25">
      <c r="C44" s="2" t="s">
        <v>41</v>
      </c>
      <c r="D44" s="11" t="s">
        <v>131</v>
      </c>
      <c r="F44" s="16" t="s">
        <v>203</v>
      </c>
      <c r="G44" t="s">
        <v>12</v>
      </c>
      <c r="H44" s="1">
        <f>IF(D45=Lists!I9,"Need Test Results!",IF(D45=Lists!I8,IF(MIN(D47:D48)&lt;=89,IF(D44="Dry",0.75,0.85),1),1))</f>
        <v>1</v>
      </c>
    </row>
    <row r="45" spans="1:9" x14ac:dyDescent="0.25">
      <c r="C45" s="2" t="s">
        <v>42</v>
      </c>
      <c r="D45" s="11" t="s">
        <v>200</v>
      </c>
      <c r="F45" s="16" t="s">
        <v>204</v>
      </c>
      <c r="G45" t="s">
        <v>28</v>
      </c>
      <c r="H45" s="1">
        <v>1</v>
      </c>
    </row>
    <row r="46" spans="1:9" x14ac:dyDescent="0.25">
      <c r="B46" s="5" t="s">
        <v>63</v>
      </c>
      <c r="C46" s="2"/>
      <c r="F46" s="16" t="s">
        <v>206</v>
      </c>
      <c r="G46" t="s">
        <v>29</v>
      </c>
      <c r="H46" s="1">
        <f>IF(D44="Wet",IF(MIN(D47:D48)&lt;=89,0.84,1),1)</f>
        <v>1</v>
      </c>
    </row>
    <row r="47" spans="1:9" x14ac:dyDescent="0.25">
      <c r="C47" s="2" t="s">
        <v>57</v>
      </c>
      <c r="D47" s="12">
        <v>191</v>
      </c>
      <c r="E47" t="s">
        <v>69</v>
      </c>
      <c r="F47" s="16" t="s">
        <v>207</v>
      </c>
      <c r="G47" t="s">
        <v>33</v>
      </c>
      <c r="H47" s="1">
        <f>IF(MAX(D47:D48)&gt;=387,0.8,IF(MAX(D47:D48)&gt;=337,0.9,IF(MAX(D47:D48)&gt;=286,1,IF(MAX(D47:D48)&gt;=235,1.1,IF(MAX(D47:D48)&gt;=184,1.2,IF(MAX(D47:D48)&gt;=140,1.3,IF(MAX(D47:D48)&gt;=114,1.4,1.5)))))))</f>
        <v>0.8</v>
      </c>
    </row>
    <row r="48" spans="1:9" x14ac:dyDescent="0.25">
      <c r="C48" s="2" t="s">
        <v>56</v>
      </c>
      <c r="D48" s="12">
        <v>495</v>
      </c>
      <c r="E48" t="s">
        <v>69</v>
      </c>
      <c r="F48" s="16"/>
      <c r="G48" t="s">
        <v>15</v>
      </c>
      <c r="H48">
        <f>VLOOKUP(D41,Lists!J12:N16,Lists!E30,FALSE)</f>
        <v>1.2</v>
      </c>
      <c r="I48" t="s">
        <v>70</v>
      </c>
    </row>
    <row r="49" spans="2:9" x14ac:dyDescent="0.25">
      <c r="B49" s="5" t="s">
        <v>65</v>
      </c>
      <c r="F49" s="16"/>
      <c r="G49" t="s">
        <v>21</v>
      </c>
      <c r="H49">
        <f>IF(D41=Lists!I20,VLOOKUP(Main!D42,Lists!I21:M29,Lists!E30,FALSE),IF(D41=Lists!I30,VLOOKUP(Main!D42,Lists!I31:M39,Lists!E30),IF(D41=Lists!I40,VLOOKUP(Main!D42,Lists!I41:M49,Lists!E30,FALSE),IF(D41=Lists!I50,VLOOKUP(Main!D42,Lists!I51:M59,Lists!E30,FALSE)))))</f>
        <v>4.9000000000000004</v>
      </c>
      <c r="I49" t="s">
        <v>71</v>
      </c>
    </row>
    <row r="50" spans="2:9" x14ac:dyDescent="0.25">
      <c r="C50" s="2" t="s">
        <v>66</v>
      </c>
      <c r="D50" s="12">
        <v>350</v>
      </c>
      <c r="E50" t="s">
        <v>71</v>
      </c>
      <c r="F50" s="5" t="s">
        <v>7</v>
      </c>
    </row>
    <row r="51" spans="2:9" x14ac:dyDescent="0.25">
      <c r="C51" s="2" t="s">
        <v>67</v>
      </c>
      <c r="D51" s="12">
        <v>400</v>
      </c>
      <c r="E51" t="s">
        <v>71</v>
      </c>
      <c r="G51" t="s">
        <v>26</v>
      </c>
      <c r="H51">
        <f>D54+2</f>
        <v>32</v>
      </c>
      <c r="I51" t="s">
        <v>69</v>
      </c>
    </row>
    <row r="52" spans="2:9" x14ac:dyDescent="0.25">
      <c r="C52" s="2" t="s">
        <v>68</v>
      </c>
      <c r="D52" s="12">
        <v>5</v>
      </c>
      <c r="E52" t="s">
        <v>69</v>
      </c>
      <c r="G52" t="s">
        <v>8</v>
      </c>
      <c r="H52">
        <v>2</v>
      </c>
    </row>
    <row r="53" spans="2:9" x14ac:dyDescent="0.25">
      <c r="B53" s="5" t="s">
        <v>58</v>
      </c>
    </row>
    <row r="54" spans="2:9" x14ac:dyDescent="0.25">
      <c r="C54" s="2" t="s">
        <v>61</v>
      </c>
      <c r="D54" s="12">
        <v>30</v>
      </c>
      <c r="E54" t="s">
        <v>69</v>
      </c>
      <c r="F54" t="s">
        <v>138</v>
      </c>
    </row>
    <row r="55" spans="2:9" x14ac:dyDescent="0.25">
      <c r="C55" s="2" t="s">
        <v>60</v>
      </c>
      <c r="D55" s="12">
        <v>3</v>
      </c>
      <c r="G55" t="s">
        <v>137</v>
      </c>
      <c r="H55" s="12"/>
      <c r="I55" t="s">
        <v>69</v>
      </c>
    </row>
    <row r="56" spans="2:9" x14ac:dyDescent="0.25">
      <c r="C56" s="2" t="s">
        <v>59</v>
      </c>
      <c r="D56" s="12">
        <v>4</v>
      </c>
      <c r="G56" t="s">
        <v>1</v>
      </c>
      <c r="H56" s="12">
        <v>120</v>
      </c>
      <c r="I56" t="s">
        <v>69</v>
      </c>
    </row>
    <row r="57" spans="2:9" x14ac:dyDescent="0.25">
      <c r="C57" s="2" t="s">
        <v>62</v>
      </c>
      <c r="D57" s="12">
        <v>310</v>
      </c>
      <c r="E57" t="s">
        <v>71</v>
      </c>
      <c r="G57" t="s">
        <v>140</v>
      </c>
      <c r="H57" s="12"/>
      <c r="I57" t="s">
        <v>69</v>
      </c>
    </row>
    <row r="58" spans="2:9" x14ac:dyDescent="0.25">
      <c r="B58" s="5" t="s">
        <v>10</v>
      </c>
      <c r="C58" s="2"/>
      <c r="F58" t="s">
        <v>176</v>
      </c>
    </row>
    <row r="59" spans="2:9" x14ac:dyDescent="0.25">
      <c r="C59" t="s">
        <v>143</v>
      </c>
      <c r="D59" s="11" t="s">
        <v>73</v>
      </c>
      <c r="F59" t="s">
        <v>177</v>
      </c>
    </row>
    <row r="60" spans="2:9" x14ac:dyDescent="0.25">
      <c r="C60" s="2" t="s">
        <v>123</v>
      </c>
      <c r="D60" s="13">
        <v>80</v>
      </c>
      <c r="E60" t="s">
        <v>118</v>
      </c>
    </row>
    <row r="61" spans="2:9" x14ac:dyDescent="0.25">
      <c r="C61" s="2" t="s">
        <v>124</v>
      </c>
      <c r="D61" s="13">
        <v>70</v>
      </c>
      <c r="E61" t="s">
        <v>118</v>
      </c>
    </row>
    <row r="62" spans="2:9" x14ac:dyDescent="0.25">
      <c r="C62" s="2" t="s">
        <v>125</v>
      </c>
      <c r="D62" s="13">
        <v>20</v>
      </c>
      <c r="E62" t="s">
        <v>118</v>
      </c>
    </row>
    <row r="63" spans="2:9" x14ac:dyDescent="0.25">
      <c r="C63" s="2" t="s">
        <v>126</v>
      </c>
      <c r="D63" s="13">
        <v>0</v>
      </c>
      <c r="E63" t="s">
        <v>118</v>
      </c>
    </row>
    <row r="64" spans="2:9" x14ac:dyDescent="0.25">
      <c r="C64" s="2" t="s">
        <v>127</v>
      </c>
      <c r="D64" s="13">
        <v>0</v>
      </c>
      <c r="E64" t="s">
        <v>118</v>
      </c>
    </row>
    <row r="65" spans="1:9" x14ac:dyDescent="0.25">
      <c r="C65" s="15" t="s">
        <v>144</v>
      </c>
      <c r="D65" s="2"/>
    </row>
    <row r="66" spans="1:9" x14ac:dyDescent="0.25">
      <c r="C66" s="15"/>
      <c r="D66" s="2"/>
    </row>
    <row r="67" spans="1:9" x14ac:dyDescent="0.25">
      <c r="C67" s="15"/>
      <c r="D67" s="2"/>
      <c r="F67" s="5" t="s">
        <v>234</v>
      </c>
    </row>
    <row r="68" spans="1:9" x14ac:dyDescent="0.25">
      <c r="D68" s="2"/>
      <c r="F68" s="12"/>
      <c r="G68" s="15" t="s">
        <v>233</v>
      </c>
    </row>
    <row r="69" spans="1:9" x14ac:dyDescent="0.25">
      <c r="C69" s="15"/>
      <c r="D69" s="2"/>
    </row>
    <row r="70" spans="1:9" x14ac:dyDescent="0.25">
      <c r="C70" s="2"/>
      <c r="D70" s="2"/>
    </row>
    <row r="71" spans="1:9" ht="19.5" thickBot="1" x14ac:dyDescent="0.35">
      <c r="A71" s="9" t="s">
        <v>5</v>
      </c>
      <c r="B71" s="10"/>
      <c r="C71" s="50" t="str">
        <f>IF((COUNTIF(F77:H85,"OK")+COUNTIF(F77:H85,"Not Applicable"))=5,"Member Connection Adequate","Member Connection Inadequate, Redsign Required, See Below for Details")</f>
        <v>Member Connection Inadequate, Redsign Required, See Below for Details</v>
      </c>
      <c r="D71" s="50"/>
      <c r="E71" s="50"/>
      <c r="F71" s="50"/>
      <c r="G71" s="50"/>
      <c r="H71" s="50"/>
      <c r="I71" s="50"/>
    </row>
    <row r="73" spans="1:9" x14ac:dyDescent="0.25">
      <c r="C73" s="2" t="s">
        <v>231</v>
      </c>
      <c r="D73">
        <f>H42</f>
        <v>1.1499999999999999</v>
      </c>
      <c r="F73" t="s">
        <v>179</v>
      </c>
    </row>
    <row r="75" spans="1:9" x14ac:dyDescent="0.25">
      <c r="C75" s="2" t="s">
        <v>178</v>
      </c>
      <c r="D75">
        <f>IF(D59="Factored",SUM(D60:D64),IF(D59="Specified",IF(H42=0.65,E92,IF(H42=1,E105,IF(H42=1.15,E123,"ERROR")))))</f>
        <v>170</v>
      </c>
      <c r="E75" t="s">
        <v>118</v>
      </c>
      <c r="F75" t="s">
        <v>144</v>
      </c>
    </row>
    <row r="76" spans="1:9" x14ac:dyDescent="0.25">
      <c r="C76" s="2"/>
    </row>
    <row r="77" spans="1:9" x14ac:dyDescent="0.25">
      <c r="C77" s="2" t="s">
        <v>133</v>
      </c>
      <c r="F77" s="51" t="str">
        <f>IF(D135&gt;=0,IF(F136="OK","OK", "Spacing Does Not Meet Minimum Requirements"),"Min Spacing Not Possible, Redesign Required")</f>
        <v>OK</v>
      </c>
      <c r="G77" s="51"/>
      <c r="H77" s="51"/>
    </row>
    <row r="78" spans="1:9" x14ac:dyDescent="0.25">
      <c r="C78" s="2"/>
      <c r="E78" s="1"/>
    </row>
    <row r="79" spans="1:9" x14ac:dyDescent="0.25">
      <c r="C79" s="2" t="s">
        <v>134</v>
      </c>
      <c r="D79">
        <f>D151/1000</f>
        <v>623.03986080000004</v>
      </c>
      <c r="E79" t="s">
        <v>118</v>
      </c>
      <c r="F79" s="49" t="str">
        <f>IF(D79&gt;=ABS(D75),"OK","Fail, Redesign Required")</f>
        <v>OK</v>
      </c>
      <c r="G79" s="49"/>
      <c r="H79" s="49"/>
    </row>
    <row r="80" spans="1:9" x14ac:dyDescent="0.25">
      <c r="C80" s="2"/>
      <c r="E80" s="1"/>
    </row>
    <row r="81" spans="1:9" x14ac:dyDescent="0.25">
      <c r="C81" s="2" t="s">
        <v>135</v>
      </c>
      <c r="D81">
        <f>D161/1000</f>
        <v>213.61366655999996</v>
      </c>
      <c r="E81" t="s">
        <v>118</v>
      </c>
      <c r="F81" s="49" t="str">
        <f>IF(D81&gt;=ABS(D75),"OK","Fail, Redesign Required")</f>
        <v>OK</v>
      </c>
      <c r="G81" s="49"/>
      <c r="H81" s="49"/>
    </row>
    <row r="82" spans="1:9" x14ac:dyDescent="0.25">
      <c r="C82" s="2"/>
    </row>
    <row r="83" spans="1:9" x14ac:dyDescent="0.25">
      <c r="C83" s="2" t="s">
        <v>235</v>
      </c>
      <c r="D83">
        <f>IF(D75&gt;=0,IF(D55&gt;1,D175/1000,"N/A"),"N/A")</f>
        <v>160.04542456000001</v>
      </c>
      <c r="E83" t="s">
        <v>118</v>
      </c>
      <c r="F83" s="49" t="str">
        <f>IF(D55&lt;=1,"Not Applicable",IF(D75&lt;0,"Not Applicable",IF(D83&gt;=D75,"OK","Fail, Redesign Required")))</f>
        <v>Fail, Redesign Required</v>
      </c>
      <c r="G83" s="49"/>
      <c r="H83" s="49"/>
    </row>
    <row r="84" spans="1:9" x14ac:dyDescent="0.25">
      <c r="C84" s="2"/>
    </row>
    <row r="85" spans="1:9" x14ac:dyDescent="0.25">
      <c r="C85" s="2" t="s">
        <v>136</v>
      </c>
      <c r="D85">
        <f>IF(D75&gt;=0,IF(D182="OK",D184/1000,0),"N/A")</f>
        <v>309.19515480000007</v>
      </c>
      <c r="E85" t="s">
        <v>118</v>
      </c>
      <c r="F85" s="49" t="str">
        <f>IF(D182="OK",IF(D75&lt;0,"Not Applicable",IF(D85&gt;=D75,"OK","Fail, Redesign Required")),"Net Area Not Adequate, Redesign Required")</f>
        <v>OK</v>
      </c>
      <c r="G85" s="49"/>
      <c r="H85" s="49"/>
    </row>
    <row r="86" spans="1:9" x14ac:dyDescent="0.25">
      <c r="C86" s="2"/>
      <c r="F86" s="1"/>
    </row>
    <row r="87" spans="1:9" x14ac:dyDescent="0.25">
      <c r="C87" t="s">
        <v>237</v>
      </c>
    </row>
    <row r="88" spans="1:9" ht="19.5" thickBot="1" x14ac:dyDescent="0.35">
      <c r="A88" s="9" t="s">
        <v>130</v>
      </c>
      <c r="B88" s="10"/>
      <c r="C88" s="10"/>
      <c r="D88" s="10"/>
      <c r="E88" s="10"/>
      <c r="F88" s="10"/>
      <c r="G88" s="10"/>
      <c r="H88" s="10"/>
      <c r="I88" s="10"/>
    </row>
    <row r="90" spans="1:9" x14ac:dyDescent="0.25">
      <c r="B90" s="5" t="s">
        <v>120</v>
      </c>
      <c r="C90" s="4"/>
      <c r="D90" s="6" t="s">
        <v>128</v>
      </c>
      <c r="E90" s="6" t="s">
        <v>129</v>
      </c>
    </row>
    <row r="91" spans="1:9" x14ac:dyDescent="0.25">
      <c r="C91" s="7">
        <v>1</v>
      </c>
      <c r="D91" s="8" t="s">
        <v>75</v>
      </c>
      <c r="E91" s="7">
        <f>1.4*$D$60</f>
        <v>112</v>
      </c>
    </row>
    <row r="92" spans="1:9" x14ac:dyDescent="0.25">
      <c r="C92" s="1"/>
      <c r="D92" s="2" t="s">
        <v>147</v>
      </c>
      <c r="E92" s="3">
        <f>(E91)</f>
        <v>112</v>
      </c>
      <c r="F92" t="s">
        <v>118</v>
      </c>
    </row>
    <row r="93" spans="1:9" x14ac:dyDescent="0.25">
      <c r="C93" s="1"/>
    </row>
    <row r="94" spans="1:9" x14ac:dyDescent="0.25">
      <c r="B94" s="5" t="s">
        <v>121</v>
      </c>
      <c r="C94" s="6"/>
      <c r="D94" s="4" t="s">
        <v>128</v>
      </c>
      <c r="E94" s="4" t="s">
        <v>129</v>
      </c>
    </row>
    <row r="95" spans="1:9" x14ac:dyDescent="0.25">
      <c r="C95" s="1" t="s">
        <v>76</v>
      </c>
      <c r="D95" t="s">
        <v>77</v>
      </c>
      <c r="E95" s="1">
        <f>1.25*$D$60+1.5*$D$61</f>
        <v>205</v>
      </c>
    </row>
    <row r="96" spans="1:9" x14ac:dyDescent="0.25">
      <c r="C96" s="1" t="s">
        <v>78</v>
      </c>
      <c r="D96" t="s">
        <v>79</v>
      </c>
      <c r="E96" s="1">
        <f>1.25*$D$60+1.5*$D$61+0.5*$D$60</f>
        <v>245</v>
      </c>
    </row>
    <row r="97" spans="2:6" x14ac:dyDescent="0.25">
      <c r="C97" s="1" t="s">
        <v>82</v>
      </c>
      <c r="D97" t="s">
        <v>83</v>
      </c>
      <c r="E97" s="1">
        <f>0.9*$D$60+1.5*$D$61</f>
        <v>177</v>
      </c>
    </row>
    <row r="98" spans="2:6" x14ac:dyDescent="0.25">
      <c r="C98" s="1" t="s">
        <v>84</v>
      </c>
      <c r="D98" t="s">
        <v>85</v>
      </c>
      <c r="E98" s="1">
        <f>0.9*D60+1.5*D61+0.5*D63</f>
        <v>177</v>
      </c>
    </row>
    <row r="99" spans="2:6" x14ac:dyDescent="0.25">
      <c r="C99" s="1" t="s">
        <v>88</v>
      </c>
      <c r="D99" t="s">
        <v>89</v>
      </c>
      <c r="E99" s="1">
        <f>1.25*$D$60+1.5*$D$63</f>
        <v>100</v>
      </c>
    </row>
    <row r="100" spans="2:6" x14ac:dyDescent="0.25">
      <c r="C100" s="1" t="s">
        <v>90</v>
      </c>
      <c r="D100" t="s">
        <v>91</v>
      </c>
      <c r="E100" s="1">
        <f>1.25*$D$60+1.5*$D$63+0.5*$D$61</f>
        <v>135</v>
      </c>
    </row>
    <row r="101" spans="2:6" x14ac:dyDescent="0.25">
      <c r="C101" s="1" t="s">
        <v>94</v>
      </c>
      <c r="D101" t="s">
        <v>95</v>
      </c>
      <c r="E101" s="1">
        <f>0.9*$D$60+1.5*$D$63</f>
        <v>72</v>
      </c>
    </row>
    <row r="102" spans="2:6" x14ac:dyDescent="0.25">
      <c r="C102" s="6" t="s">
        <v>96</v>
      </c>
      <c r="D102" s="4" t="s">
        <v>97</v>
      </c>
      <c r="E102" s="6">
        <f>0.9*$D$60+1.5*$D$63+0.5*$D$61</f>
        <v>107</v>
      </c>
    </row>
    <row r="103" spans="2:6" x14ac:dyDescent="0.25">
      <c r="C103" s="1"/>
      <c r="D103" s="2" t="s">
        <v>119</v>
      </c>
      <c r="E103" s="3">
        <f>MAX(E95:E102)</f>
        <v>245</v>
      </c>
      <c r="F103" t="s">
        <v>118</v>
      </c>
    </row>
    <row r="104" spans="2:6" x14ac:dyDescent="0.25">
      <c r="C104" s="1"/>
      <c r="D104" s="17" t="s">
        <v>146</v>
      </c>
      <c r="E104" s="20">
        <f>MIN(E95:E102)</f>
        <v>72</v>
      </c>
      <c r="F104" t="s">
        <v>118</v>
      </c>
    </row>
    <row r="105" spans="2:6" x14ac:dyDescent="0.25">
      <c r="C105" s="1"/>
      <c r="D105" s="2" t="s">
        <v>147</v>
      </c>
      <c r="E105" s="3">
        <f>IF(ABS(E104)&gt;E103,E104,E103)</f>
        <v>245</v>
      </c>
      <c r="F105" t="s">
        <v>118</v>
      </c>
    </row>
    <row r="107" spans="2:6" x14ac:dyDescent="0.25">
      <c r="B107" s="5" t="s">
        <v>122</v>
      </c>
      <c r="C107" s="4"/>
      <c r="D107" s="6" t="s">
        <v>128</v>
      </c>
      <c r="E107" s="6" t="s">
        <v>129</v>
      </c>
    </row>
    <row r="108" spans="2:6" x14ac:dyDescent="0.25">
      <c r="C108" s="1" t="s">
        <v>80</v>
      </c>
      <c r="D108" t="s">
        <v>81</v>
      </c>
      <c r="E108" s="1">
        <f>1.25*$D$60+1.5*$D$61+0.4*$D$62</f>
        <v>213</v>
      </c>
    </row>
    <row r="109" spans="2:6" x14ac:dyDescent="0.25">
      <c r="C109" s="1" t="s">
        <v>86</v>
      </c>
      <c r="D109" t="s">
        <v>87</v>
      </c>
      <c r="E109" s="1">
        <f>0.9*$D$60+1.5*$D$61+0.4*$D$62</f>
        <v>185</v>
      </c>
    </row>
    <row r="110" spans="2:6" x14ac:dyDescent="0.25">
      <c r="C110" s="1" t="s">
        <v>92</v>
      </c>
      <c r="D110" t="s">
        <v>93</v>
      </c>
      <c r="E110" s="1">
        <f>1.25*$D$60+1.5*$D$63+0.4*$D$62</f>
        <v>108</v>
      </c>
    </row>
    <row r="111" spans="2:6" x14ac:dyDescent="0.25">
      <c r="C111" s="1" t="s">
        <v>98</v>
      </c>
      <c r="D111" t="s">
        <v>99</v>
      </c>
      <c r="E111" s="1">
        <f>0.9*$D$60+1.5*$D$63+0.4*$D$62</f>
        <v>80</v>
      </c>
    </row>
    <row r="112" spans="2:6" x14ac:dyDescent="0.25">
      <c r="C112" s="1" t="s">
        <v>100</v>
      </c>
      <c r="D112" t="s">
        <v>101</v>
      </c>
      <c r="E112" s="1">
        <f>1.25*$D$60+1.4*$D$62</f>
        <v>128</v>
      </c>
    </row>
    <row r="113" spans="1:9" x14ac:dyDescent="0.25">
      <c r="C113" s="1" t="s">
        <v>102</v>
      </c>
      <c r="D113" t="s">
        <v>103</v>
      </c>
      <c r="E113" s="1">
        <f>1.25*$D$60+1.4*$D$62+0.5*$D$61</f>
        <v>163</v>
      </c>
    </row>
    <row r="114" spans="1:9" x14ac:dyDescent="0.25">
      <c r="C114" s="1" t="s">
        <v>104</v>
      </c>
      <c r="D114" t="s">
        <v>105</v>
      </c>
      <c r="E114" s="1">
        <f>1.25*$D$60+1.4*$D$62+0.5*$D$63</f>
        <v>128</v>
      </c>
    </row>
    <row r="115" spans="1:9" x14ac:dyDescent="0.25">
      <c r="C115" s="1" t="s">
        <v>106</v>
      </c>
      <c r="D115" t="s">
        <v>107</v>
      </c>
      <c r="E115" s="1">
        <f>0.9*$D$60+1.4*$D$62</f>
        <v>100</v>
      </c>
    </row>
    <row r="116" spans="1:9" x14ac:dyDescent="0.25">
      <c r="C116" s="1" t="s">
        <v>108</v>
      </c>
      <c r="D116" t="s">
        <v>109</v>
      </c>
      <c r="E116" s="1">
        <f>0.9*$D$60+1.4*$D$62+0.5*$D$61</f>
        <v>135</v>
      </c>
    </row>
    <row r="117" spans="1:9" x14ac:dyDescent="0.25">
      <c r="C117" s="1" t="s">
        <v>110</v>
      </c>
      <c r="D117" t="s">
        <v>111</v>
      </c>
      <c r="E117" s="1">
        <f>0.9*$D$60+1.4*$D$62+0.5*$D$63</f>
        <v>100</v>
      </c>
    </row>
    <row r="118" spans="1:9" x14ac:dyDescent="0.25">
      <c r="C118" s="1" t="s">
        <v>112</v>
      </c>
      <c r="D118" t="s">
        <v>113</v>
      </c>
      <c r="E118" s="1">
        <f>1*$D$60+1*$D$64</f>
        <v>80</v>
      </c>
    </row>
    <row r="119" spans="1:9" x14ac:dyDescent="0.25">
      <c r="C119" s="1" t="s">
        <v>114</v>
      </c>
      <c r="D119" t="s">
        <v>115</v>
      </c>
      <c r="E119" s="1">
        <f>1*$D$60+1*$D$64+0.5*$D$61</f>
        <v>115</v>
      </c>
    </row>
    <row r="120" spans="1:9" x14ac:dyDescent="0.25">
      <c r="C120" s="6" t="s">
        <v>116</v>
      </c>
      <c r="D120" s="4" t="s">
        <v>117</v>
      </c>
      <c r="E120" s="6">
        <f>1*$D$60+1*$D$64+0.25*$D$63</f>
        <v>80</v>
      </c>
    </row>
    <row r="121" spans="1:9" x14ac:dyDescent="0.25">
      <c r="C121" s="1"/>
      <c r="D121" s="2" t="s">
        <v>119</v>
      </c>
      <c r="E121" s="3">
        <f>MAX(E108:E120)</f>
        <v>213</v>
      </c>
      <c r="F121" t="s">
        <v>118</v>
      </c>
    </row>
    <row r="122" spans="1:9" x14ac:dyDescent="0.25">
      <c r="C122" s="1"/>
      <c r="D122" s="17" t="s">
        <v>145</v>
      </c>
      <c r="E122" s="20">
        <f>MIN(E108:E120)</f>
        <v>80</v>
      </c>
      <c r="F122" t="s">
        <v>118</v>
      </c>
    </row>
    <row r="123" spans="1:9" x14ac:dyDescent="0.25">
      <c r="C123" s="1"/>
      <c r="D123" s="2" t="s">
        <v>147</v>
      </c>
      <c r="E123" s="3">
        <f>IF(ABS(E122)&gt;E121,E122,E121)</f>
        <v>213</v>
      </c>
      <c r="F123" t="s">
        <v>148</v>
      </c>
    </row>
    <row r="126" spans="1:9" ht="19.5" thickBot="1" x14ac:dyDescent="0.35">
      <c r="A126" s="9" t="s">
        <v>142</v>
      </c>
      <c r="B126" s="10"/>
      <c r="C126" s="10"/>
      <c r="D126" s="10"/>
      <c r="E126" s="10"/>
      <c r="F126" s="10"/>
      <c r="G126" s="10"/>
      <c r="H126" s="10"/>
      <c r="I126" s="10"/>
    </row>
    <row r="128" spans="1:9" x14ac:dyDescent="0.25">
      <c r="B128" s="5" t="s">
        <v>6</v>
      </c>
    </row>
    <row r="129" spans="2:7" x14ac:dyDescent="0.25">
      <c r="C129" s="4"/>
      <c r="D129" s="4" t="s">
        <v>27</v>
      </c>
      <c r="E129" s="4" t="s">
        <v>17</v>
      </c>
      <c r="F129" s="4" t="s">
        <v>141</v>
      </c>
    </row>
    <row r="130" spans="2:7" x14ac:dyDescent="0.25">
      <c r="C130" t="s">
        <v>0</v>
      </c>
      <c r="D130">
        <f>IF(D56&lt;=1,0,4*D54)</f>
        <v>120</v>
      </c>
      <c r="E130">
        <f>IF(H55="",D130,H55)</f>
        <v>120</v>
      </c>
      <c r="F130" s="1" t="str">
        <f>IF(E130&lt;D130,"Fail","OK")</f>
        <v>OK</v>
      </c>
      <c r="G130" t="s">
        <v>154</v>
      </c>
    </row>
    <row r="131" spans="2:7" x14ac:dyDescent="0.25">
      <c r="C131" t="s">
        <v>1</v>
      </c>
      <c r="D131">
        <f>IF(D55&lt;=1,0,3*D54)</f>
        <v>90</v>
      </c>
      <c r="E131">
        <f>IF(H56="",D131,H56)</f>
        <v>120</v>
      </c>
      <c r="F131" s="1" t="str">
        <f t="shared" ref="F131:F134" si="0">IF(E131&lt;D131,"Fail","OK")</f>
        <v>OK</v>
      </c>
      <c r="G131" t="s">
        <v>154</v>
      </c>
    </row>
    <row r="132" spans="2:7" x14ac:dyDescent="0.25">
      <c r="C132" t="s">
        <v>2</v>
      </c>
      <c r="D132">
        <f>MAX(1.5*D54,0.5*D131)</f>
        <v>45</v>
      </c>
      <c r="E132">
        <f>(D48-(E131*(D55-1)))/2</f>
        <v>127.5</v>
      </c>
      <c r="F132" s="1" t="str">
        <f t="shared" si="0"/>
        <v>OK</v>
      </c>
      <c r="G132" t="s">
        <v>154</v>
      </c>
    </row>
    <row r="133" spans="2:7" x14ac:dyDescent="0.25">
      <c r="C133" t="s">
        <v>3</v>
      </c>
      <c r="D133">
        <f>MAX(5*D54,50)</f>
        <v>150</v>
      </c>
      <c r="E133">
        <f>IF(H57="",D133,H57)</f>
        <v>150</v>
      </c>
      <c r="F133" s="1" t="str">
        <f t="shared" si="0"/>
        <v>OK</v>
      </c>
      <c r="G133" t="s">
        <v>154</v>
      </c>
    </row>
    <row r="134" spans="2:7" x14ac:dyDescent="0.25">
      <c r="C134" t="s">
        <v>4</v>
      </c>
      <c r="D134">
        <f>MAX(4*D54,50)</f>
        <v>120</v>
      </c>
      <c r="E134">
        <f>IF(H57="",D134,H57)</f>
        <v>120</v>
      </c>
      <c r="F134" s="1" t="str">
        <f t="shared" si="0"/>
        <v>OK</v>
      </c>
      <c r="G134" t="s">
        <v>154</v>
      </c>
    </row>
    <row r="135" spans="2:7" x14ac:dyDescent="0.25">
      <c r="C135" s="4" t="s">
        <v>139</v>
      </c>
      <c r="D135" s="4">
        <f>D48-(D132*2)-(D131*(D55-1))</f>
        <v>225</v>
      </c>
      <c r="E135" s="4">
        <f>D48-(E132*2)-(E131*(D55-1))</f>
        <v>0</v>
      </c>
      <c r="F135" s="6" t="str">
        <f>IF(E135&lt;0,"Fail","OK")</f>
        <v>OK</v>
      </c>
    </row>
    <row r="136" spans="2:7" x14ac:dyDescent="0.25">
      <c r="E136" t="s">
        <v>6</v>
      </c>
      <c r="F136" s="1" t="str">
        <f>IF(COUNTIF(F130:F135,"Fail")&gt;0,"Fail","OK")</f>
        <v>OK</v>
      </c>
    </row>
    <row r="139" spans="2:7" x14ac:dyDescent="0.25">
      <c r="B139" s="5" t="s">
        <v>9</v>
      </c>
      <c r="C139" s="5"/>
      <c r="D139" s="5"/>
      <c r="E139" s="5"/>
      <c r="F139" s="5"/>
    </row>
    <row r="140" spans="2:7" x14ac:dyDescent="0.25">
      <c r="C140" s="2" t="s">
        <v>156</v>
      </c>
      <c r="D140">
        <v>0.67</v>
      </c>
      <c r="F140" t="s">
        <v>149</v>
      </c>
    </row>
    <row r="141" spans="2:7" x14ac:dyDescent="0.25">
      <c r="C141" s="2" t="s">
        <v>157</v>
      </c>
      <c r="D141">
        <v>0.8</v>
      </c>
      <c r="F141" t="s">
        <v>153</v>
      </c>
    </row>
    <row r="142" spans="2:7" x14ac:dyDescent="0.25">
      <c r="C142" s="17" t="s">
        <v>158</v>
      </c>
      <c r="D142" s="4">
        <f>IF(D41=Lists!A2,0.49,IF(D41=Lists!A3,0.46,IF(D41=Lists!A4,0.42,0.35)))</f>
        <v>0.42</v>
      </c>
      <c r="E142" s="4"/>
      <c r="F142" s="4" t="s">
        <v>155</v>
      </c>
    </row>
    <row r="143" spans="2:7" x14ac:dyDescent="0.25">
      <c r="C143" s="2" t="s">
        <v>159</v>
      </c>
      <c r="D143">
        <f>3*D51*(D140/D141)</f>
        <v>1005</v>
      </c>
      <c r="E143" t="s">
        <v>71</v>
      </c>
      <c r="F143" t="s">
        <v>149</v>
      </c>
    </row>
    <row r="144" spans="2:7" x14ac:dyDescent="0.25">
      <c r="C144" s="2" t="s">
        <v>160</v>
      </c>
      <c r="D144">
        <f>50*D142*(1-(0.01*D54))</f>
        <v>14.7</v>
      </c>
      <c r="E144" t="s">
        <v>71</v>
      </c>
      <c r="F144" t="s">
        <v>150</v>
      </c>
    </row>
    <row r="145" spans="2:6" x14ac:dyDescent="0.25">
      <c r="C145" s="17" t="s">
        <v>161</v>
      </c>
      <c r="D145" s="4">
        <f>D144*H42*H43*H44</f>
        <v>11.32635</v>
      </c>
      <c r="E145" s="4" t="s">
        <v>71</v>
      </c>
      <c r="F145" s="4" t="s">
        <v>150</v>
      </c>
    </row>
    <row r="146" spans="2:6" x14ac:dyDescent="0.25">
      <c r="C146" s="2" t="s">
        <v>162</v>
      </c>
      <c r="D146">
        <f>D143*D54*D52</f>
        <v>150750</v>
      </c>
      <c r="E146" t="s">
        <v>151</v>
      </c>
      <c r="F146" t="s">
        <v>152</v>
      </c>
    </row>
    <row r="147" spans="2:6" x14ac:dyDescent="0.25">
      <c r="C147" s="2" t="s">
        <v>163</v>
      </c>
      <c r="D147">
        <f>(D145*D54*D47)/2</f>
        <v>32449.992750000001</v>
      </c>
      <c r="E147" t="s">
        <v>151</v>
      </c>
      <c r="F147" t="s">
        <v>152</v>
      </c>
    </row>
    <row r="148" spans="2:6" x14ac:dyDescent="0.25">
      <c r="C148" s="2" t="s">
        <v>164</v>
      </c>
      <c r="D148">
        <f>(D143*(D54^2))*(SQRT((1/6)*(D145/(D143+D145))*(D57/D143))+(D52/(5*D54)))</f>
        <v>51800.062686617115</v>
      </c>
      <c r="E148" t="s">
        <v>151</v>
      </c>
      <c r="F148" t="s">
        <v>152</v>
      </c>
    </row>
    <row r="149" spans="2:6" x14ac:dyDescent="0.25">
      <c r="C149" s="17" t="s">
        <v>165</v>
      </c>
      <c r="D149" s="4">
        <f>(D143*(D54^2))*(SQRT((2/3)*(D145/(D143+D145))*(D57/D143)))</f>
        <v>43300.12537323423</v>
      </c>
      <c r="E149" s="4" t="s">
        <v>151</v>
      </c>
      <c r="F149" s="4" t="s">
        <v>152</v>
      </c>
    </row>
    <row r="150" spans="2:6" x14ac:dyDescent="0.25">
      <c r="C150" s="18" t="s">
        <v>146</v>
      </c>
      <c r="D150" s="8">
        <f>MIN(D146:D149)</f>
        <v>32449.992750000001</v>
      </c>
      <c r="E150" s="8" t="s">
        <v>151</v>
      </c>
      <c r="F150" s="8"/>
    </row>
    <row r="151" spans="2:6" x14ac:dyDescent="0.25">
      <c r="C151" s="2" t="s">
        <v>166</v>
      </c>
      <c r="D151" s="14">
        <f>(D141*D150*H52*D56*D55)</f>
        <v>623039.86080000002</v>
      </c>
      <c r="E151" t="s">
        <v>151</v>
      </c>
      <c r="F151" t="s">
        <v>153</v>
      </c>
    </row>
    <row r="154" spans="2:6" x14ac:dyDescent="0.25">
      <c r="B154" s="5" t="s">
        <v>13</v>
      </c>
    </row>
    <row r="155" spans="2:6" x14ac:dyDescent="0.25">
      <c r="C155" t="s">
        <v>14</v>
      </c>
      <c r="D155">
        <v>1</v>
      </c>
      <c r="F155" t="s">
        <v>167</v>
      </c>
    </row>
    <row r="156" spans="2:6" x14ac:dyDescent="0.25">
      <c r="C156" t="s">
        <v>16</v>
      </c>
      <c r="D156">
        <f>IF(D75&lt;0,E130,MIN(E133,E130))</f>
        <v>120</v>
      </c>
      <c r="E156" t="s">
        <v>69</v>
      </c>
      <c r="F156" t="s">
        <v>167</v>
      </c>
    </row>
    <row r="157" spans="2:6" x14ac:dyDescent="0.25">
      <c r="C157" t="s">
        <v>15</v>
      </c>
      <c r="D157">
        <f>IF(Lists!D30="B",(0.6*Main!H48),Main!H48)</f>
        <v>1.2</v>
      </c>
      <c r="E157" t="s">
        <v>70</v>
      </c>
    </row>
    <row r="158" spans="2:6" x14ac:dyDescent="0.25">
      <c r="C158" s="4" t="s">
        <v>18</v>
      </c>
      <c r="D158" s="4">
        <v>0.7</v>
      </c>
      <c r="E158" s="4"/>
      <c r="F158" s="4" t="s">
        <v>167</v>
      </c>
    </row>
    <row r="159" spans="2:6" x14ac:dyDescent="0.25">
      <c r="C159" t="s">
        <v>173</v>
      </c>
      <c r="D159">
        <f>1.2*D157*D155*D47*D56*D156</f>
        <v>132019.19999999998</v>
      </c>
      <c r="E159" t="s">
        <v>151</v>
      </c>
      <c r="F159" t="s">
        <v>167</v>
      </c>
    </row>
    <row r="160" spans="2:6" x14ac:dyDescent="0.25">
      <c r="C160" s="4" t="s">
        <v>19</v>
      </c>
      <c r="D160" s="4">
        <f>D158*D159*D55*H42*H43*H44</f>
        <v>213613.66655999995</v>
      </c>
      <c r="E160" s="4" t="s">
        <v>151</v>
      </c>
      <c r="F160" s="4" t="s">
        <v>167</v>
      </c>
    </row>
    <row r="161" spans="1:10" x14ac:dyDescent="0.25">
      <c r="C161" t="s">
        <v>172</v>
      </c>
      <c r="D161" s="14">
        <f>D160</f>
        <v>213613.66655999995</v>
      </c>
      <c r="E161" t="s">
        <v>151</v>
      </c>
      <c r="F161" t="s">
        <v>167</v>
      </c>
    </row>
    <row r="164" spans="1:10" ht="19.5" thickBot="1" x14ac:dyDescent="0.35">
      <c r="A164" s="9" t="s">
        <v>142</v>
      </c>
      <c r="B164" s="10"/>
      <c r="C164" s="10"/>
      <c r="D164" s="10"/>
      <c r="E164" s="10"/>
      <c r="F164" s="10"/>
      <c r="G164" s="10"/>
      <c r="H164" s="10"/>
      <c r="I164" s="10"/>
    </row>
    <row r="165" spans="1:10" ht="18.75" x14ac:dyDescent="0.3">
      <c r="A165" s="22"/>
      <c r="B165" s="19"/>
      <c r="C165" s="19"/>
      <c r="D165" s="19"/>
      <c r="E165" s="19"/>
      <c r="F165" s="19"/>
      <c r="G165" s="19"/>
      <c r="H165" s="19"/>
      <c r="I165" s="19"/>
    </row>
    <row r="166" spans="1:10" x14ac:dyDescent="0.25">
      <c r="B166" s="5" t="s">
        <v>20</v>
      </c>
    </row>
    <row r="167" spans="1:10" x14ac:dyDescent="0.25">
      <c r="C167" t="s">
        <v>16</v>
      </c>
      <c r="D167">
        <f>MIN(E133,E130)</f>
        <v>120</v>
      </c>
      <c r="E167" t="s">
        <v>69</v>
      </c>
      <c r="F167" t="s">
        <v>167</v>
      </c>
    </row>
    <row r="168" spans="1:10" x14ac:dyDescent="0.25">
      <c r="C168" t="s">
        <v>18</v>
      </c>
      <c r="D168">
        <v>0.7</v>
      </c>
      <c r="F168" t="s">
        <v>171</v>
      </c>
    </row>
    <row r="169" spans="1:10" x14ac:dyDescent="0.25">
      <c r="C169" t="s">
        <v>14</v>
      </c>
      <c r="D169">
        <v>1</v>
      </c>
      <c r="F169" t="s">
        <v>167</v>
      </c>
    </row>
    <row r="170" spans="1:10" x14ac:dyDescent="0.25">
      <c r="C170" t="s">
        <v>21</v>
      </c>
      <c r="D170">
        <f>IF(Lists!D30="B",(0.65*Main!H49),Main!H49)</f>
        <v>4.9000000000000004</v>
      </c>
      <c r="E170" t="s">
        <v>70</v>
      </c>
    </row>
    <row r="171" spans="1:10" x14ac:dyDescent="0.25">
      <c r="C171" s="4" t="s">
        <v>25</v>
      </c>
      <c r="D171" s="4">
        <f>((E131*(D55-1))-(H51*(D55-1)))*(D47)</f>
        <v>33616</v>
      </c>
      <c r="E171" s="4" t="s">
        <v>168</v>
      </c>
      <c r="F171" s="4" t="s">
        <v>171</v>
      </c>
    </row>
    <row r="172" spans="1:10" x14ac:dyDescent="0.25">
      <c r="C172" t="s">
        <v>22</v>
      </c>
      <c r="D172">
        <f>1.2*H48*H42*H43*H44*D169*D47*D56*D167</f>
        <v>101720.7936</v>
      </c>
      <c r="E172" t="s">
        <v>151</v>
      </c>
      <c r="F172" t="s">
        <v>171</v>
      </c>
    </row>
    <row r="173" spans="1:10" x14ac:dyDescent="0.25">
      <c r="C173" s="4" t="s">
        <v>23</v>
      </c>
      <c r="D173" s="4">
        <f>1.2*H48*H42*H43*H44*D169*D47*D56*D167</f>
        <v>101720.7936</v>
      </c>
      <c r="E173" s="4" t="s">
        <v>151</v>
      </c>
      <c r="F173" s="4" t="s">
        <v>171</v>
      </c>
      <c r="I173" s="19"/>
      <c r="J173" s="19"/>
    </row>
    <row r="174" spans="1:10" x14ac:dyDescent="0.25">
      <c r="C174" s="8" t="s">
        <v>175</v>
      </c>
      <c r="D174" s="8">
        <f>D168*(((D172+D173)/2)+(D170*H42*H43*H44*D171))</f>
        <v>160045.42456000001</v>
      </c>
      <c r="E174" s="8" t="s">
        <v>151</v>
      </c>
      <c r="F174" s="8" t="s">
        <v>171</v>
      </c>
      <c r="I174" s="19"/>
      <c r="J174" s="19"/>
    </row>
    <row r="175" spans="1:10" x14ac:dyDescent="0.25">
      <c r="C175" t="s">
        <v>174</v>
      </c>
      <c r="D175" s="14">
        <f>D174</f>
        <v>160045.42456000001</v>
      </c>
      <c r="E175" s="19" t="s">
        <v>151</v>
      </c>
      <c r="F175" s="19" t="s">
        <v>171</v>
      </c>
      <c r="I175" s="19"/>
      <c r="J175" s="19"/>
    </row>
    <row r="176" spans="1:10" x14ac:dyDescent="0.25">
      <c r="I176" s="19"/>
      <c r="J176" s="19"/>
    </row>
    <row r="177" spans="1:10" x14ac:dyDescent="0.25">
      <c r="I177" s="19"/>
      <c r="J177" s="19"/>
    </row>
    <row r="178" spans="1:10" x14ac:dyDescent="0.25">
      <c r="B178" s="5" t="s">
        <v>30</v>
      </c>
      <c r="I178" s="19"/>
      <c r="J178" s="19"/>
    </row>
    <row r="179" spans="1:10" x14ac:dyDescent="0.25">
      <c r="C179" t="s">
        <v>35</v>
      </c>
      <c r="D179">
        <v>0.9</v>
      </c>
      <c r="F179" t="s">
        <v>169</v>
      </c>
    </row>
    <row r="180" spans="1:10" x14ac:dyDescent="0.25">
      <c r="C180" t="s">
        <v>36</v>
      </c>
      <c r="D180">
        <f>D47*D48</f>
        <v>94545</v>
      </c>
      <c r="E180" t="s">
        <v>168</v>
      </c>
    </row>
    <row r="181" spans="1:10" x14ac:dyDescent="0.25">
      <c r="C181" t="s">
        <v>32</v>
      </c>
      <c r="D181">
        <f>(D47*D48)-(D55*H51*D47)</f>
        <v>76209</v>
      </c>
      <c r="E181" t="s">
        <v>168</v>
      </c>
    </row>
    <row r="182" spans="1:10" x14ac:dyDescent="0.25">
      <c r="C182" s="4" t="s">
        <v>37</v>
      </c>
      <c r="D182" s="6" t="str">
        <f>IF(D181&lt;(0.75*D180),"Fail","OK")</f>
        <v>OK</v>
      </c>
      <c r="E182" s="4"/>
      <c r="F182" s="4" t="s">
        <v>170</v>
      </c>
    </row>
    <row r="183" spans="1:10" x14ac:dyDescent="0.25">
      <c r="C183" s="8" t="s">
        <v>31</v>
      </c>
      <c r="D183" s="8">
        <f>H49*H42*H45*H46*H44</f>
        <v>5.6349999999999998</v>
      </c>
      <c r="E183" s="8" t="s">
        <v>71</v>
      </c>
      <c r="F183" s="8" t="s">
        <v>169</v>
      </c>
    </row>
    <row r="184" spans="1:10" x14ac:dyDescent="0.25">
      <c r="C184" t="s">
        <v>34</v>
      </c>
      <c r="D184" s="14">
        <f>D179*D183*D181*H47</f>
        <v>309195.15480000008</v>
      </c>
      <c r="E184" t="s">
        <v>151</v>
      </c>
      <c r="F184" t="s">
        <v>169</v>
      </c>
    </row>
    <row r="187" spans="1:10" ht="19.5" thickBot="1" x14ac:dyDescent="0.35">
      <c r="A187" s="9" t="s">
        <v>221</v>
      </c>
      <c r="B187" s="10"/>
      <c r="C187" s="10"/>
      <c r="D187" s="10"/>
      <c r="E187" s="10"/>
      <c r="F187" s="10"/>
      <c r="G187" s="10"/>
      <c r="H187" s="10"/>
      <c r="I187" s="10"/>
    </row>
    <row r="188" spans="1:10" x14ac:dyDescent="0.25">
      <c r="B188" t="s">
        <v>220</v>
      </c>
    </row>
    <row r="189" spans="1:10" x14ac:dyDescent="0.25">
      <c r="C189" t="s">
        <v>219</v>
      </c>
    </row>
  </sheetData>
  <mergeCells count="7">
    <mergeCell ref="G41:H41"/>
    <mergeCell ref="C71:I71"/>
    <mergeCell ref="F77:H77"/>
    <mergeCell ref="F85:H85"/>
    <mergeCell ref="F83:H83"/>
    <mergeCell ref="F81:H81"/>
    <mergeCell ref="F79:H79"/>
  </mergeCells>
  <conditionalFormatting sqref="F77">
    <cfRule type="containsText" dxfId="11" priority="8" operator="containsText" text="Min Spacing Not Possible">
      <formula>NOT(ISERROR(SEARCH("Min Spacing Not Possible",F77)))</formula>
    </cfRule>
    <cfRule type="containsText" dxfId="10" priority="18" operator="containsText" text="OK">
      <formula>NOT(ISERROR(SEARCH("OK",F77)))</formula>
    </cfRule>
  </conditionalFormatting>
  <conditionalFormatting sqref="F85:F86 E80 F79 F83 F81">
    <cfRule type="containsText" dxfId="9" priority="19" operator="containsText" text="OK">
      <formula>NOT(ISERROR(SEARCH("OK",E79)))</formula>
    </cfRule>
    <cfRule type="containsText" dxfId="8" priority="21" operator="containsText" text="Fail, Redesign Required">
      <formula>NOT(ISERROR(SEARCH("Fail, Redesign Required",E79)))</formula>
    </cfRule>
  </conditionalFormatting>
  <conditionalFormatting sqref="D182 F130:F135">
    <cfRule type="containsText" dxfId="7" priority="10" operator="containsText" text="OK">
      <formula>NOT(ISERROR(SEARCH("OK",D130)))</formula>
    </cfRule>
    <cfRule type="containsText" dxfId="6" priority="11" operator="containsText" text="Fail">
      <formula>NOT(ISERROR(SEARCH("Fail",D130)))</formula>
    </cfRule>
  </conditionalFormatting>
  <conditionalFormatting sqref="F85:F86">
    <cfRule type="containsText" dxfId="5" priority="9" operator="containsText" text="Net Area Not Adequate, Redesign Required">
      <formula>NOT(ISERROR(SEARCH("Net Area Not Adequate, Redesign Required",F85)))</formula>
    </cfRule>
  </conditionalFormatting>
  <conditionalFormatting sqref="F136">
    <cfRule type="containsText" dxfId="4" priority="4" operator="containsText" text="Fail">
      <formula>NOT(ISERROR(SEARCH("Fail",F136)))</formula>
    </cfRule>
    <cfRule type="containsText" dxfId="3" priority="5" operator="containsText" text="OK">
      <formula>NOT(ISERROR(SEARCH("OK",F136)))</formula>
    </cfRule>
  </conditionalFormatting>
  <conditionalFormatting sqref="F77:H77">
    <cfRule type="containsText" dxfId="2" priority="3" operator="containsText" text="Spacing Does Not Meet Minimum Requirements">
      <formula>NOT(ISERROR(SEARCH("Spacing Does Not Meet Minimum Requirements",F77)))</formula>
    </cfRule>
  </conditionalFormatting>
  <conditionalFormatting sqref="C71:I71">
    <cfRule type="containsText" dxfId="1" priority="1" operator="containsText" text="Member Connection Inadequate, Redsign Required, See Below for Details">
      <formula>NOT(ISERROR(SEARCH("Member Connection Inadequate, Redsign Required, See Below for Details",C71)))</formula>
    </cfRule>
    <cfRule type="containsText" dxfId="0" priority="2" operator="containsText" text="Member Connection Adequate">
      <formula>NOT(ISERROR(SEARCH("Member Connection Adequate",C71)))</formula>
    </cfRule>
  </conditionalFormatting>
  <dataValidations disablePrompts="1" count="7">
    <dataValidation type="list" allowBlank="1" showInputMessage="1" showErrorMessage="1" sqref="D44">
      <formula1>Service</formula1>
    </dataValidation>
    <dataValidation type="list" allowBlank="1" showInputMessage="1" showErrorMessage="1" sqref="D41">
      <formula1>TimSpec</formula1>
    </dataValidation>
    <dataValidation type="list" allowBlank="1" showInputMessage="1" showErrorMessage="1" sqref="D42">
      <formula1>Grade</formula1>
    </dataValidation>
    <dataValidation type="list" allowBlank="1" showInputMessage="1" showErrorMessage="1" sqref="H42">
      <formula1>Kd</formula1>
    </dataValidation>
    <dataValidation type="list" allowBlank="1" showInputMessage="1" showErrorMessage="1" sqref="D59">
      <formula1>Loads</formula1>
    </dataValidation>
    <dataValidation type="list" allowBlank="1" showInputMessage="1" showErrorMessage="1" sqref="D43">
      <formula1>Condition</formula1>
    </dataValidation>
    <dataValidation type="list" allowBlank="1" showInputMessage="1" showErrorMessage="1" sqref="D45">
      <formula1>Treatment</formula1>
    </dataValidation>
  </dataValidations>
  <pageMargins left="0.7" right="0.7" top="0.75" bottom="0.75" header="0.3" footer="0.3"/>
  <pageSetup scale="90" orientation="landscape" r:id="rId1"/>
  <rowBreaks count="2" manualBreakCount="2">
    <brk id="70" max="16383" man="1"/>
    <brk id="8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zoomScale="70" zoomScaleNormal="70" workbookViewId="0">
      <selection activeCell="G35" sqref="G35"/>
    </sheetView>
  </sheetViews>
  <sheetFormatPr defaultRowHeight="15" x14ac:dyDescent="0.25"/>
  <cols>
    <col min="1" max="1" width="31.140625" customWidth="1"/>
    <col min="3" max="3" width="27.85546875" customWidth="1"/>
    <col min="4" max="4" width="12.42578125" customWidth="1"/>
    <col min="5" max="5" width="16.42578125" bestFit="1" customWidth="1"/>
    <col min="7" max="7" width="14.28515625" customWidth="1"/>
    <col min="8" max="8" width="12.28515625" bestFit="1" customWidth="1"/>
    <col min="9" max="9" width="28.42578125" customWidth="1"/>
  </cols>
  <sheetData>
    <row r="1" spans="1:14" x14ac:dyDescent="0.25">
      <c r="A1" s="31" t="s">
        <v>47</v>
      </c>
      <c r="C1" s="31" t="s">
        <v>195</v>
      </c>
      <c r="E1" s="31" t="s">
        <v>48</v>
      </c>
      <c r="G1" s="31" t="s">
        <v>40</v>
      </c>
      <c r="I1" s="31" t="s">
        <v>72</v>
      </c>
      <c r="K1" s="31" t="s">
        <v>11</v>
      </c>
      <c r="M1" s="34" t="s">
        <v>41</v>
      </c>
      <c r="N1" s="35"/>
    </row>
    <row r="2" spans="1:14" x14ac:dyDescent="0.25">
      <c r="A2" s="32" t="s">
        <v>43</v>
      </c>
      <c r="C2" s="32" t="s">
        <v>196</v>
      </c>
      <c r="E2" s="32" t="s">
        <v>50</v>
      </c>
      <c r="G2" s="32" t="s">
        <v>190</v>
      </c>
      <c r="I2" s="32" t="s">
        <v>73</v>
      </c>
      <c r="K2" s="32">
        <v>0.65</v>
      </c>
      <c r="M2" s="36" t="s">
        <v>131</v>
      </c>
      <c r="N2" s="37"/>
    </row>
    <row r="3" spans="1:14" ht="15.75" thickBot="1" x14ac:dyDescent="0.3">
      <c r="A3" s="32" t="s">
        <v>44</v>
      </c>
      <c r="C3" s="33" t="s">
        <v>197</v>
      </c>
      <c r="E3" s="33" t="s">
        <v>49</v>
      </c>
      <c r="G3" s="32" t="s">
        <v>191</v>
      </c>
      <c r="I3" s="33" t="s">
        <v>74</v>
      </c>
      <c r="K3" s="32">
        <v>1</v>
      </c>
      <c r="M3" s="38" t="s">
        <v>132</v>
      </c>
      <c r="N3" s="39"/>
    </row>
    <row r="4" spans="1:14" ht="15.75" thickBot="1" x14ac:dyDescent="0.3">
      <c r="A4" s="32" t="s">
        <v>45</v>
      </c>
      <c r="G4" s="32" t="s">
        <v>180</v>
      </c>
      <c r="K4" s="33">
        <v>1.1499999999999999</v>
      </c>
    </row>
    <row r="5" spans="1:14" ht="15.75" thickBot="1" x14ac:dyDescent="0.3">
      <c r="A5" s="33" t="s">
        <v>46</v>
      </c>
      <c r="G5" s="32" t="s">
        <v>181</v>
      </c>
      <c r="I5" s="40" t="s">
        <v>198</v>
      </c>
    </row>
    <row r="6" spans="1:14" x14ac:dyDescent="0.25">
      <c r="G6" s="32" t="s">
        <v>51</v>
      </c>
      <c r="I6" s="32" t="s">
        <v>199</v>
      </c>
    </row>
    <row r="7" spans="1:14" x14ac:dyDescent="0.25">
      <c r="G7" s="32" t="s">
        <v>52</v>
      </c>
      <c r="I7" s="32" t="s">
        <v>200</v>
      </c>
    </row>
    <row r="8" spans="1:14" x14ac:dyDescent="0.25">
      <c r="G8" s="32" t="s">
        <v>53</v>
      </c>
      <c r="I8" s="32" t="s">
        <v>201</v>
      </c>
    </row>
    <row r="9" spans="1:14" ht="15.75" thickBot="1" x14ac:dyDescent="0.3">
      <c r="G9" s="32" t="s">
        <v>54</v>
      </c>
      <c r="I9" s="33" t="s">
        <v>202</v>
      </c>
    </row>
    <row r="10" spans="1:14" ht="15.75" thickBot="1" x14ac:dyDescent="0.3">
      <c r="G10" s="33" t="s">
        <v>55</v>
      </c>
    </row>
    <row r="11" spans="1:14" ht="15.75" thickBot="1" x14ac:dyDescent="0.3">
      <c r="G11" s="19"/>
      <c r="J11" s="55" t="s">
        <v>15</v>
      </c>
      <c r="K11" s="56"/>
      <c r="L11" s="56"/>
      <c r="M11" s="56"/>
      <c r="N11" s="57"/>
    </row>
    <row r="12" spans="1:14" x14ac:dyDescent="0.25">
      <c r="B12" s="34" t="s">
        <v>214</v>
      </c>
      <c r="C12" s="41" t="s">
        <v>236</v>
      </c>
      <c r="D12" s="41" t="s">
        <v>188</v>
      </c>
      <c r="E12" s="41" t="s">
        <v>189</v>
      </c>
      <c r="F12" s="41" t="s">
        <v>214</v>
      </c>
      <c r="G12" s="35" t="s">
        <v>212</v>
      </c>
      <c r="J12" s="42"/>
      <c r="K12" s="43" t="s">
        <v>208</v>
      </c>
      <c r="L12" s="43" t="s">
        <v>209</v>
      </c>
      <c r="M12" s="43" t="s">
        <v>210</v>
      </c>
      <c r="N12" s="44" t="s">
        <v>211</v>
      </c>
    </row>
    <row r="13" spans="1:14" x14ac:dyDescent="0.25">
      <c r="B13" s="36" t="str">
        <f>F13</f>
        <v>NO</v>
      </c>
      <c r="C13" s="19" t="s">
        <v>182</v>
      </c>
      <c r="D13" s="19">
        <f>MIN(Main!D$47:D$48)</f>
        <v>191</v>
      </c>
      <c r="E13" s="19">
        <f>MAX(Main!D$47:D$48)</f>
        <v>495</v>
      </c>
      <c r="F13" s="19" t="str">
        <f>IF(AND(D13&gt;=38,D13&lt;=89),IF(AND(E13&gt;=38,E13&lt;=89),IF(OR(Main!D$42="Construction",Main!D$42="Standard"),"OK","NO"),"NO"),"NO")</f>
        <v>NO</v>
      </c>
      <c r="G13" s="37" t="s">
        <v>209</v>
      </c>
      <c r="J13" s="42" t="s">
        <v>43</v>
      </c>
      <c r="K13" s="43">
        <v>1.9</v>
      </c>
      <c r="L13" s="43">
        <v>3.2</v>
      </c>
      <c r="M13" s="43">
        <v>1.5</v>
      </c>
      <c r="N13" s="44">
        <v>1.5</v>
      </c>
    </row>
    <row r="14" spans="1:14" x14ac:dyDescent="0.25">
      <c r="B14" s="36" t="str">
        <f t="shared" ref="B14:B19" si="0">F14</f>
        <v>NO</v>
      </c>
      <c r="C14" s="19" t="s">
        <v>55</v>
      </c>
      <c r="D14" s="19">
        <f>MIN(Main!D$47:D$48)</f>
        <v>191</v>
      </c>
      <c r="E14" s="19">
        <f>MAX(Main!D$47:D$48)</f>
        <v>495</v>
      </c>
      <c r="F14" s="19" t="str">
        <f>IF(AND(D14&gt;=38,D14&lt;=89),IF(AND(E14&gt;=38,E14&lt;=89),IF(Main!D$42="Stud","OK","NO"),"NO"),"NO")</f>
        <v>NO</v>
      </c>
      <c r="G14" s="37" t="s">
        <v>208</v>
      </c>
      <c r="J14" s="42" t="s">
        <v>44</v>
      </c>
      <c r="K14" s="43">
        <v>1.6</v>
      </c>
      <c r="L14" s="43">
        <v>2.7</v>
      </c>
      <c r="M14" s="43">
        <v>1.2</v>
      </c>
      <c r="N14" s="44">
        <v>1.2</v>
      </c>
    </row>
    <row r="15" spans="1:14" x14ac:dyDescent="0.25">
      <c r="B15" s="36" t="str">
        <f t="shared" si="0"/>
        <v>NO</v>
      </c>
      <c r="C15" s="19" t="s">
        <v>183</v>
      </c>
      <c r="D15" s="19">
        <f>MIN(Main!D$47:D$48)</f>
        <v>191</v>
      </c>
      <c r="E15" s="19">
        <f>MAX(Main!D$47:D$48)</f>
        <v>495</v>
      </c>
      <c r="F15" s="19" t="str">
        <f>IF(AND(D15&gt;=38,D15&lt;=89),IF(AND(E15&gt;=38,E15&lt;=89),IF(OR(Main!D$42&lt;&gt;"Stud",Main!D$42&lt;&gt;"Construction",Main!D$42&lt;&gt;"Standard"),"OK","NO"),"NO"),"NO")</f>
        <v>NO</v>
      </c>
      <c r="G15" s="37" t="s">
        <v>208</v>
      </c>
      <c r="J15" s="42" t="s">
        <v>45</v>
      </c>
      <c r="K15" s="43">
        <v>1.5</v>
      </c>
      <c r="L15" s="43">
        <v>2.6</v>
      </c>
      <c r="M15" s="43">
        <v>1.2</v>
      </c>
      <c r="N15" s="44">
        <v>1.2</v>
      </c>
    </row>
    <row r="16" spans="1:14" ht="15.75" thickBot="1" x14ac:dyDescent="0.3">
      <c r="B16" s="36" t="str">
        <f t="shared" si="0"/>
        <v>NO</v>
      </c>
      <c r="C16" s="19" t="s">
        <v>184</v>
      </c>
      <c r="D16" s="19">
        <f>MIN(Main!D$47:D$48)</f>
        <v>191</v>
      </c>
      <c r="E16" s="19">
        <f>MAX(Main!D$47:D$48)</f>
        <v>495</v>
      </c>
      <c r="F16" s="19" t="str">
        <f>IF(AND(D16&gt;=38,D16&lt;=89),IF(E16&gt;=114,IF(OR(Main!D$42&lt;&gt;"Select",Main!D$42&lt;&gt;"Commercial"),"OK","NO"),"NO"),"NO")</f>
        <v>NO</v>
      </c>
      <c r="G16" s="37" t="s">
        <v>208</v>
      </c>
      <c r="J16" s="45" t="s">
        <v>46</v>
      </c>
      <c r="K16" s="21">
        <v>1.3</v>
      </c>
      <c r="L16" s="21">
        <v>2.2000000000000002</v>
      </c>
      <c r="M16" s="21">
        <v>1</v>
      </c>
      <c r="N16" s="46">
        <v>1</v>
      </c>
    </row>
    <row r="17" spans="2:13" ht="15.75" thickBot="1" x14ac:dyDescent="0.3">
      <c r="B17" s="36" t="str">
        <f t="shared" si="0"/>
        <v>OK</v>
      </c>
      <c r="C17" s="19" t="s">
        <v>185</v>
      </c>
      <c r="D17" s="19">
        <f>MIN(Main!D$47:D$48)</f>
        <v>191</v>
      </c>
      <c r="E17" s="19">
        <f>MAX(Main!D$47:D$48)</f>
        <v>495</v>
      </c>
      <c r="F17" s="19" t="str">
        <f>IF(D17&gt;=114,IF(E17&gt;(D17+51),"OK","NO"),"NO")</f>
        <v>OK</v>
      </c>
      <c r="G17" s="37" t="s">
        <v>210</v>
      </c>
    </row>
    <row r="18" spans="2:13" ht="15.75" thickBot="1" x14ac:dyDescent="0.3">
      <c r="B18" s="36" t="str">
        <f t="shared" si="0"/>
        <v>NO</v>
      </c>
      <c r="C18" s="19" t="s">
        <v>186</v>
      </c>
      <c r="D18" s="19">
        <f>MIN(Main!D$47:D$48)</f>
        <v>191</v>
      </c>
      <c r="E18" s="19">
        <f>MAX(Main!D$47:D$48)</f>
        <v>495</v>
      </c>
      <c r="F18" s="19" t="str">
        <f>IF(D18&gt;=114,IF(E18&lt;=(D18+51),"OK","NO"),"NO")</f>
        <v>NO</v>
      </c>
      <c r="G18" s="37" t="s">
        <v>211</v>
      </c>
      <c r="I18" s="55" t="s">
        <v>21</v>
      </c>
      <c r="J18" s="56"/>
      <c r="K18" s="56"/>
      <c r="L18" s="56"/>
      <c r="M18" s="57"/>
    </row>
    <row r="19" spans="2:13" ht="15.75" thickBot="1" x14ac:dyDescent="0.3">
      <c r="B19" s="38" t="str">
        <f t="shared" si="0"/>
        <v>NO</v>
      </c>
      <c r="C19" s="10" t="s">
        <v>187</v>
      </c>
      <c r="D19" s="10">
        <f>MIN(Main!D$47:D$48)</f>
        <v>191</v>
      </c>
      <c r="E19" s="10">
        <f>MAX(Main!D$47:D$48)</f>
        <v>495</v>
      </c>
      <c r="F19" s="10" t="str">
        <f>IF(AND(D19&gt;=38,D19&lt;=89),IF(E19&gt;=140,IF(OR(Main!D$42="Select",Main!D$42="Commercial"),"OK","NO"),"NO"),"NO")</f>
        <v>NO</v>
      </c>
      <c r="G19" s="39" t="s">
        <v>208</v>
      </c>
      <c r="I19" s="34"/>
      <c r="J19" s="41" t="s">
        <v>208</v>
      </c>
      <c r="K19" s="41" t="s">
        <v>209</v>
      </c>
      <c r="L19" s="41" t="s">
        <v>210</v>
      </c>
      <c r="M19" s="35" t="s">
        <v>211</v>
      </c>
    </row>
    <row r="20" spans="2:13" ht="15.75" thickBot="1" x14ac:dyDescent="0.3">
      <c r="I20" s="36" t="s">
        <v>43</v>
      </c>
      <c r="J20" s="19"/>
      <c r="K20" s="19"/>
      <c r="L20" s="19"/>
      <c r="M20" s="37"/>
    </row>
    <row r="21" spans="2:13" x14ac:dyDescent="0.25">
      <c r="D21" s="47" t="s">
        <v>212</v>
      </c>
      <c r="E21" s="48" t="s">
        <v>213</v>
      </c>
      <c r="I21" s="36" t="s">
        <v>190</v>
      </c>
      <c r="J21" s="43" t="str">
        <f>IF(Main!G$41="Plank Decking",J25,"N/A")</f>
        <v>N/A</v>
      </c>
      <c r="K21" s="43" t="s">
        <v>215</v>
      </c>
      <c r="L21" s="43" t="s">
        <v>215</v>
      </c>
      <c r="M21" s="44" t="s">
        <v>215</v>
      </c>
    </row>
    <row r="22" spans="2:13" x14ac:dyDescent="0.25">
      <c r="D22" s="42" t="s">
        <v>208</v>
      </c>
      <c r="E22" s="44">
        <v>2</v>
      </c>
      <c r="I22" s="36" t="s">
        <v>191</v>
      </c>
      <c r="J22" s="43" t="str">
        <f>IF(Main!G$41="Plank Decking",J27,"N/A")</f>
        <v>N/A</v>
      </c>
      <c r="K22" s="43" t="s">
        <v>215</v>
      </c>
      <c r="L22" s="43" t="s">
        <v>215</v>
      </c>
      <c r="M22" s="44" t="s">
        <v>215</v>
      </c>
    </row>
    <row r="23" spans="2:13" x14ac:dyDescent="0.25">
      <c r="D23" s="42" t="s">
        <v>209</v>
      </c>
      <c r="E23" s="44">
        <v>3</v>
      </c>
      <c r="I23" s="36" t="s">
        <v>180</v>
      </c>
      <c r="J23" s="43" t="s">
        <v>215</v>
      </c>
      <c r="K23" s="43">
        <v>6.6</v>
      </c>
      <c r="L23" s="43" t="s">
        <v>215</v>
      </c>
      <c r="M23" s="44" t="s">
        <v>215</v>
      </c>
    </row>
    <row r="24" spans="2:13" x14ac:dyDescent="0.25">
      <c r="D24" s="42" t="s">
        <v>210</v>
      </c>
      <c r="E24" s="44">
        <v>4</v>
      </c>
      <c r="I24" s="36" t="s">
        <v>181</v>
      </c>
      <c r="J24" s="43" t="s">
        <v>215</v>
      </c>
      <c r="K24" s="43">
        <v>3.7</v>
      </c>
      <c r="L24" s="43" t="s">
        <v>215</v>
      </c>
      <c r="M24" s="44" t="s">
        <v>215</v>
      </c>
    </row>
    <row r="25" spans="2:13" ht="15.75" thickBot="1" x14ac:dyDescent="0.3">
      <c r="D25" s="45" t="s">
        <v>211</v>
      </c>
      <c r="E25" s="46">
        <v>5</v>
      </c>
      <c r="I25" s="36" t="s">
        <v>51</v>
      </c>
      <c r="J25" s="43">
        <v>10.6</v>
      </c>
      <c r="K25" s="43" t="s">
        <v>215</v>
      </c>
      <c r="L25" s="43">
        <v>10</v>
      </c>
      <c r="M25" s="44">
        <v>10.7</v>
      </c>
    </row>
    <row r="26" spans="2:13" x14ac:dyDescent="0.25">
      <c r="I26" s="36" t="s">
        <v>52</v>
      </c>
      <c r="J26" s="43">
        <v>5.8</v>
      </c>
      <c r="K26" s="43" t="s">
        <v>215</v>
      </c>
      <c r="L26" s="43">
        <v>7</v>
      </c>
      <c r="M26" s="44">
        <v>8.1</v>
      </c>
    </row>
    <row r="27" spans="2:13" ht="15.75" thickBot="1" x14ac:dyDescent="0.3">
      <c r="I27" s="36" t="s">
        <v>53</v>
      </c>
      <c r="J27" s="43">
        <v>5.8</v>
      </c>
      <c r="K27" s="43" t="s">
        <v>215</v>
      </c>
      <c r="L27" s="43">
        <v>3.3</v>
      </c>
      <c r="M27" s="44">
        <v>3.8</v>
      </c>
    </row>
    <row r="28" spans="2:13" x14ac:dyDescent="0.25">
      <c r="D28" s="52" t="s">
        <v>214</v>
      </c>
      <c r="E28" s="53"/>
      <c r="F28" s="53"/>
      <c r="G28" s="54"/>
      <c r="I28" s="36" t="s">
        <v>54</v>
      </c>
      <c r="J28" s="43">
        <v>2.1</v>
      </c>
      <c r="K28" s="43" t="s">
        <v>215</v>
      </c>
      <c r="L28" s="43" t="s">
        <v>215</v>
      </c>
      <c r="M28" s="44" t="s">
        <v>215</v>
      </c>
    </row>
    <row r="29" spans="2:13" x14ac:dyDescent="0.25">
      <c r="D29" s="42" t="s">
        <v>212</v>
      </c>
      <c r="E29" s="43" t="s">
        <v>213</v>
      </c>
      <c r="F29" s="43" t="s">
        <v>15</v>
      </c>
      <c r="G29" s="44" t="s">
        <v>21</v>
      </c>
      <c r="I29" s="36" t="s">
        <v>55</v>
      </c>
      <c r="J29" s="43">
        <v>2.1</v>
      </c>
      <c r="K29" s="43" t="s">
        <v>215</v>
      </c>
      <c r="L29" s="43" t="s">
        <v>215</v>
      </c>
      <c r="M29" s="44" t="s">
        <v>215</v>
      </c>
    </row>
    <row r="30" spans="2:13" ht="15.75" thickBot="1" x14ac:dyDescent="0.3">
      <c r="D30" s="45" t="str">
        <f>VLOOKUP("OK",F13:G19,2,FALSE)</f>
        <v>C</v>
      </c>
      <c r="E30" s="21">
        <f>VLOOKUP(D30,D22:E25,2,FALSE)</f>
        <v>4</v>
      </c>
      <c r="F30" s="21">
        <f>VLOOKUP(Main!D41,Lists!J12:N16,Lists!E30,FALSE)</f>
        <v>1.2</v>
      </c>
      <c r="G30" s="46">
        <f>IF(Main!D41=Lists!I20,VLOOKUP(Main!D42,Lists!I21:M29,Lists!E30,FALSE),IF(Main!D41=Lists!I30,VLOOKUP(Main!D42,Lists!I31:M39,Lists!E30),IF(Main!D41=Lists!I40,VLOOKUP(Main!D42,Lists!I41:M49,Lists!E30,FALSE),IF(Main!D41=Lists!I50,VLOOKUP(Main!D42,Lists!I51:M59,Lists!E30,FALSE)))))</f>
        <v>4.9000000000000004</v>
      </c>
      <c r="I30" s="36" t="s">
        <v>44</v>
      </c>
      <c r="J30" s="43"/>
      <c r="K30" s="43"/>
      <c r="L30" s="43"/>
      <c r="M30" s="44"/>
    </row>
    <row r="31" spans="2:13" x14ac:dyDescent="0.25">
      <c r="I31" s="36" t="s">
        <v>190</v>
      </c>
      <c r="J31" s="43" t="str">
        <f>IF(Main!G$41="Plank Decking",J35,"N/A")</f>
        <v>N/A</v>
      </c>
      <c r="K31" s="43" t="s">
        <v>215</v>
      </c>
      <c r="L31" s="43" t="s">
        <v>215</v>
      </c>
      <c r="M31" s="44" t="s">
        <v>215</v>
      </c>
    </row>
    <row r="32" spans="2:13" x14ac:dyDescent="0.25">
      <c r="C32" s="23"/>
      <c r="I32" s="36" t="s">
        <v>191</v>
      </c>
      <c r="J32" s="43" t="str">
        <f>IF(Main!G$41="Plank Decking",J37,"N/A")</f>
        <v>N/A</v>
      </c>
      <c r="K32" s="43" t="s">
        <v>215</v>
      </c>
      <c r="L32" s="43" t="s">
        <v>215</v>
      </c>
      <c r="M32" s="44" t="s">
        <v>215</v>
      </c>
    </row>
    <row r="33" spans="9:13" x14ac:dyDescent="0.25">
      <c r="I33" s="36" t="s">
        <v>180</v>
      </c>
      <c r="J33" s="43" t="s">
        <v>215</v>
      </c>
      <c r="K33" s="43">
        <v>7</v>
      </c>
      <c r="L33" s="43" t="s">
        <v>215</v>
      </c>
      <c r="M33" s="44" t="s">
        <v>215</v>
      </c>
    </row>
    <row r="34" spans="9:13" x14ac:dyDescent="0.25">
      <c r="I34" s="36" t="s">
        <v>181</v>
      </c>
      <c r="J34" s="43" t="s">
        <v>215</v>
      </c>
      <c r="K34" s="43">
        <v>3.9</v>
      </c>
      <c r="L34" s="43" t="s">
        <v>215</v>
      </c>
      <c r="M34" s="44" t="s">
        <v>215</v>
      </c>
    </row>
    <row r="35" spans="9:13" x14ac:dyDescent="0.25">
      <c r="I35" s="36" t="s">
        <v>51</v>
      </c>
      <c r="J35" s="43">
        <v>9.6999999999999993</v>
      </c>
      <c r="K35" s="43" t="s">
        <v>215</v>
      </c>
      <c r="L35" s="43">
        <v>7.4</v>
      </c>
      <c r="M35" s="44">
        <v>7.9</v>
      </c>
    </row>
    <row r="36" spans="9:13" x14ac:dyDescent="0.25">
      <c r="I36" s="36" t="s">
        <v>52</v>
      </c>
      <c r="J36" s="43">
        <v>6.2</v>
      </c>
      <c r="K36" s="43" t="s">
        <v>215</v>
      </c>
      <c r="L36" s="43">
        <v>5.2</v>
      </c>
      <c r="M36" s="44">
        <v>6</v>
      </c>
    </row>
    <row r="37" spans="9:13" x14ac:dyDescent="0.25">
      <c r="I37" s="36" t="s">
        <v>53</v>
      </c>
      <c r="J37" s="43">
        <v>6.2</v>
      </c>
      <c r="K37" s="43" t="s">
        <v>215</v>
      </c>
      <c r="L37" s="43">
        <v>2.4</v>
      </c>
      <c r="M37" s="44">
        <v>2.8</v>
      </c>
    </row>
    <row r="38" spans="9:13" x14ac:dyDescent="0.25">
      <c r="I38" s="36" t="s">
        <v>54</v>
      </c>
      <c r="J38" s="43">
        <v>3.2</v>
      </c>
      <c r="K38" s="43" t="s">
        <v>215</v>
      </c>
      <c r="L38" s="43" t="s">
        <v>215</v>
      </c>
      <c r="M38" s="44" t="s">
        <v>215</v>
      </c>
    </row>
    <row r="39" spans="9:13" x14ac:dyDescent="0.25">
      <c r="I39" s="36" t="s">
        <v>55</v>
      </c>
      <c r="J39" s="43">
        <v>3.2</v>
      </c>
      <c r="K39" s="43" t="s">
        <v>215</v>
      </c>
      <c r="L39" s="43" t="s">
        <v>215</v>
      </c>
      <c r="M39" s="44" t="s">
        <v>215</v>
      </c>
    </row>
    <row r="40" spans="9:13" x14ac:dyDescent="0.25">
      <c r="I40" s="36" t="s">
        <v>45</v>
      </c>
      <c r="J40" s="43"/>
      <c r="K40" s="43"/>
      <c r="L40" s="43"/>
      <c r="M40" s="44"/>
    </row>
    <row r="41" spans="9:13" x14ac:dyDescent="0.25">
      <c r="I41" s="36" t="s">
        <v>190</v>
      </c>
      <c r="J41" s="43" t="str">
        <f>IF(Main!G$41="Plank Decking",J45,"N/A")</f>
        <v>N/A</v>
      </c>
      <c r="K41" s="43" t="s">
        <v>215</v>
      </c>
      <c r="L41" s="43" t="s">
        <v>215</v>
      </c>
      <c r="M41" s="44" t="s">
        <v>215</v>
      </c>
    </row>
    <row r="42" spans="9:13" x14ac:dyDescent="0.25">
      <c r="I42" s="36" t="s">
        <v>191</v>
      </c>
      <c r="J42" s="43" t="str">
        <f>IF(Main!G$41="Plank Decking",J47,"N/A")</f>
        <v>N/A</v>
      </c>
      <c r="K42" s="43" t="s">
        <v>215</v>
      </c>
      <c r="L42" s="43" t="s">
        <v>215</v>
      </c>
      <c r="M42" s="44" t="s">
        <v>215</v>
      </c>
    </row>
    <row r="43" spans="9:13" x14ac:dyDescent="0.25">
      <c r="I43" s="36" t="s">
        <v>180</v>
      </c>
      <c r="J43" s="43" t="s">
        <v>215</v>
      </c>
      <c r="K43" s="43">
        <v>6.2</v>
      </c>
      <c r="L43" s="43" t="s">
        <v>215</v>
      </c>
      <c r="M43" s="44" t="s">
        <v>215</v>
      </c>
    </row>
    <row r="44" spans="9:13" x14ac:dyDescent="0.25">
      <c r="I44" s="36" t="s">
        <v>181</v>
      </c>
      <c r="J44" s="43" t="s">
        <v>215</v>
      </c>
      <c r="K44" s="43">
        <v>3.5</v>
      </c>
      <c r="L44" s="43" t="s">
        <v>215</v>
      </c>
      <c r="M44" s="44" t="s">
        <v>215</v>
      </c>
    </row>
    <row r="45" spans="9:13" x14ac:dyDescent="0.25">
      <c r="I45" s="36" t="s">
        <v>51</v>
      </c>
      <c r="J45" s="43">
        <v>8.6</v>
      </c>
      <c r="K45" s="43" t="s">
        <v>215</v>
      </c>
      <c r="L45" s="43">
        <v>7</v>
      </c>
      <c r="M45" s="44">
        <v>7.4</v>
      </c>
    </row>
    <row r="46" spans="9:13" x14ac:dyDescent="0.25">
      <c r="I46" s="36" t="s">
        <v>52</v>
      </c>
      <c r="J46" s="43">
        <v>5.5</v>
      </c>
      <c r="K46" s="43" t="s">
        <v>215</v>
      </c>
      <c r="L46" s="43">
        <v>4.9000000000000004</v>
      </c>
      <c r="M46" s="44">
        <v>5.6</v>
      </c>
    </row>
    <row r="47" spans="9:13" x14ac:dyDescent="0.25">
      <c r="I47" s="36" t="s">
        <v>53</v>
      </c>
      <c r="J47" s="43">
        <v>5.5</v>
      </c>
      <c r="K47" s="43" t="s">
        <v>215</v>
      </c>
      <c r="L47" s="43">
        <v>2.2999999999999998</v>
      </c>
      <c r="M47" s="44">
        <v>2.6</v>
      </c>
    </row>
    <row r="48" spans="9:13" x14ac:dyDescent="0.25">
      <c r="I48" s="36" t="s">
        <v>54</v>
      </c>
      <c r="J48" s="43">
        <v>3.2</v>
      </c>
      <c r="K48" s="43" t="s">
        <v>215</v>
      </c>
      <c r="L48" s="43" t="s">
        <v>215</v>
      </c>
      <c r="M48" s="44" t="s">
        <v>215</v>
      </c>
    </row>
    <row r="49" spans="9:13" x14ac:dyDescent="0.25">
      <c r="I49" s="36" t="s">
        <v>55</v>
      </c>
      <c r="J49" s="43">
        <v>3.2</v>
      </c>
      <c r="K49" s="43" t="s">
        <v>215</v>
      </c>
      <c r="L49" s="43" t="s">
        <v>215</v>
      </c>
      <c r="M49" s="44" t="s">
        <v>215</v>
      </c>
    </row>
    <row r="50" spans="9:13" x14ac:dyDescent="0.25">
      <c r="I50" s="36" t="s">
        <v>46</v>
      </c>
      <c r="J50" s="43"/>
      <c r="K50" s="43"/>
      <c r="L50" s="43"/>
      <c r="M50" s="44"/>
    </row>
    <row r="51" spans="9:13" x14ac:dyDescent="0.25">
      <c r="I51" s="36" t="s">
        <v>190</v>
      </c>
      <c r="J51" s="43" t="str">
        <f>IF(Main!G$41="Plank Decking",J55,"N/A")</f>
        <v>N/A</v>
      </c>
      <c r="K51" s="43" t="s">
        <v>215</v>
      </c>
      <c r="L51" s="43" t="s">
        <v>215</v>
      </c>
      <c r="M51" s="44" t="s">
        <v>215</v>
      </c>
    </row>
    <row r="52" spans="9:13" x14ac:dyDescent="0.25">
      <c r="I52" s="36" t="s">
        <v>191</v>
      </c>
      <c r="J52" s="43" t="str">
        <f>IF(Main!G$41="Plank Decking",J57,"N/A")</f>
        <v>N/A</v>
      </c>
      <c r="K52" s="43" t="s">
        <v>215</v>
      </c>
      <c r="L52" s="43" t="s">
        <v>215</v>
      </c>
      <c r="M52" s="44" t="s">
        <v>215</v>
      </c>
    </row>
    <row r="53" spans="9:13" x14ac:dyDescent="0.25">
      <c r="I53" s="36" t="s">
        <v>180</v>
      </c>
      <c r="J53" s="43" t="s">
        <v>215</v>
      </c>
      <c r="K53" s="43">
        <v>4.5</v>
      </c>
      <c r="L53" s="43" t="s">
        <v>215</v>
      </c>
      <c r="M53" s="44" t="s">
        <v>215</v>
      </c>
    </row>
    <row r="54" spans="9:13" x14ac:dyDescent="0.25">
      <c r="I54" s="36" t="s">
        <v>181</v>
      </c>
      <c r="J54" s="43" t="s">
        <v>215</v>
      </c>
      <c r="K54" s="43">
        <v>2.5</v>
      </c>
      <c r="L54" s="43" t="s">
        <v>215</v>
      </c>
      <c r="M54" s="44" t="s">
        <v>215</v>
      </c>
    </row>
    <row r="55" spans="9:13" x14ac:dyDescent="0.25">
      <c r="I55" s="36" t="s">
        <v>51</v>
      </c>
      <c r="J55" s="43">
        <v>6.2</v>
      </c>
      <c r="K55" s="43" t="s">
        <v>215</v>
      </c>
      <c r="L55" s="43">
        <v>6.5</v>
      </c>
      <c r="M55" s="44">
        <v>7</v>
      </c>
    </row>
    <row r="56" spans="9:13" x14ac:dyDescent="0.25">
      <c r="I56" s="36" t="s">
        <v>52</v>
      </c>
      <c r="J56" s="43">
        <v>4</v>
      </c>
      <c r="K56" s="43" t="s">
        <v>215</v>
      </c>
      <c r="L56" s="43">
        <v>4.5999999999999996</v>
      </c>
      <c r="M56" s="44">
        <v>5.3</v>
      </c>
    </row>
    <row r="57" spans="9:13" x14ac:dyDescent="0.25">
      <c r="I57" s="36" t="s">
        <v>53</v>
      </c>
      <c r="J57" s="43">
        <v>4</v>
      </c>
      <c r="K57" s="43" t="s">
        <v>215</v>
      </c>
      <c r="L57" s="43">
        <v>2.2000000000000002</v>
      </c>
      <c r="M57" s="44">
        <v>2.5</v>
      </c>
    </row>
    <row r="58" spans="9:13" x14ac:dyDescent="0.25">
      <c r="I58" s="36" t="s">
        <v>54</v>
      </c>
      <c r="J58" s="43">
        <v>2</v>
      </c>
      <c r="K58" s="43" t="s">
        <v>215</v>
      </c>
      <c r="L58" s="43" t="s">
        <v>215</v>
      </c>
      <c r="M58" s="44" t="s">
        <v>215</v>
      </c>
    </row>
    <row r="59" spans="9:13" ht="15.75" thickBot="1" x14ac:dyDescent="0.3">
      <c r="I59" s="38" t="s">
        <v>55</v>
      </c>
      <c r="J59" s="21">
        <v>2</v>
      </c>
      <c r="K59" s="21" t="s">
        <v>215</v>
      </c>
      <c r="L59" s="21" t="s">
        <v>215</v>
      </c>
      <c r="M59" s="46" t="s">
        <v>215</v>
      </c>
    </row>
  </sheetData>
  <mergeCells count="3">
    <mergeCell ref="D28:G28"/>
    <mergeCell ref="J11:N11"/>
    <mergeCell ref="I18:M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Main</vt:lpstr>
      <vt:lpstr>Lists</vt:lpstr>
      <vt:lpstr>Condition</vt:lpstr>
      <vt:lpstr>GluSpec</vt:lpstr>
      <vt:lpstr>Grade</vt:lpstr>
      <vt:lpstr>Kd</vt:lpstr>
      <vt:lpstr>Loads</vt:lpstr>
      <vt:lpstr>Service</vt:lpstr>
      <vt:lpstr>Spec</vt:lpstr>
      <vt:lpstr>TimOrGlu</vt:lpstr>
      <vt:lpstr>TimSpec</vt:lpstr>
      <vt:lpstr>Treatment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Jeffrey Erochko</cp:lastModifiedBy>
  <cp:lastPrinted>2014-04-01T06:48:25Z</cp:lastPrinted>
  <dcterms:created xsi:type="dcterms:W3CDTF">2014-03-26T23:50:46Z</dcterms:created>
  <dcterms:modified xsi:type="dcterms:W3CDTF">2014-04-25T15:17:04Z</dcterms:modified>
</cp:coreProperties>
</file>