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0" yWindow="0" windowWidth="25605" windowHeight="14100" tabRatio="500"/>
  </bookViews>
  <sheets>
    <sheet name="Design" sheetId="1" r:id="rId1"/>
    <sheet name="Glulam Material" sheetId="2" r:id="rId2"/>
    <sheet name="Lists " sheetId="3" r:id="rId3"/>
    <sheet name="Steel" sheetId="4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1" l="1"/>
  <c r="J45" i="1"/>
  <c r="J30" i="1"/>
  <c r="J35" i="1" s="1"/>
  <c r="A35" i="2" s="1"/>
  <c r="J36" i="1" s="1"/>
  <c r="F59" i="1"/>
  <c r="F62" i="1" s="1"/>
  <c r="J33" i="1"/>
  <c r="J15" i="1"/>
  <c r="F63" i="1"/>
  <c r="J24" i="1"/>
  <c r="J13" i="1"/>
  <c r="J17" i="1"/>
  <c r="J23" i="1"/>
  <c r="F92" i="1"/>
  <c r="J25" i="1"/>
  <c r="F81" i="1"/>
  <c r="J19" i="1"/>
  <c r="J21" i="1"/>
  <c r="J22" i="1"/>
  <c r="F107" i="1" s="1"/>
  <c r="F109" i="1" s="1"/>
  <c r="J40" i="1"/>
  <c r="F95" i="1" s="1"/>
  <c r="J41" i="1"/>
  <c r="J20" i="1"/>
  <c r="F108" i="1" s="1"/>
  <c r="F110" i="1" s="1"/>
  <c r="J39" i="1"/>
  <c r="F47" i="1"/>
  <c r="F64" i="1"/>
  <c r="F61" i="1"/>
  <c r="F69" i="1" s="1"/>
  <c r="F58" i="1"/>
  <c r="J42" i="1"/>
  <c r="J43" i="1" s="1"/>
  <c r="J16" i="1"/>
  <c r="F82" i="1" l="1"/>
  <c r="F83" i="1"/>
  <c r="F60" i="1"/>
  <c r="F93" i="1"/>
  <c r="F97" i="1" s="1"/>
  <c r="F68" i="1"/>
  <c r="F67" i="1"/>
  <c r="F66" i="1"/>
  <c r="F112" i="1"/>
  <c r="F94" i="1"/>
  <c r="F70" i="1"/>
  <c r="F46" i="1"/>
  <c r="J46" i="1" s="1"/>
  <c r="F65" i="1"/>
  <c r="F84" i="1"/>
  <c r="F85" i="1" s="1"/>
  <c r="F87" i="1" s="1"/>
  <c r="F124" i="1" l="1"/>
  <c r="F72" i="1"/>
  <c r="F74" i="1" s="1"/>
  <c r="F96" i="1"/>
  <c r="F99" i="1" s="1"/>
  <c r="F126" i="1" s="1"/>
  <c r="F121" i="1" l="1"/>
</calcChain>
</file>

<file path=xl/sharedStrings.xml><?xml version="1.0" encoding="utf-8"?>
<sst xmlns="http://schemas.openxmlformats.org/spreadsheetml/2006/main" count="297" uniqueCount="183">
  <si>
    <t>Folasade Akinbami</t>
  </si>
  <si>
    <t>INPUTS</t>
  </si>
  <si>
    <t xml:space="preserve">Design of Two-member Glulam in Tension: Wood-Steel Bolted Connection, Based on CAN/CSA-086-09 </t>
  </si>
  <si>
    <t>Douglas Fir-Larch</t>
  </si>
  <si>
    <t>Spruce-Lodgepole Pine-Jack Pine</t>
  </si>
  <si>
    <t>Hem-Fir and Douglas Fir-Larch</t>
  </si>
  <si>
    <t>24f-E</t>
  </si>
  <si>
    <t>24f-EX</t>
  </si>
  <si>
    <t>20f-E</t>
  </si>
  <si>
    <t>20f-EX</t>
  </si>
  <si>
    <t>18t-E</t>
  </si>
  <si>
    <t>16c-E</t>
  </si>
  <si>
    <t>14t-E</t>
  </si>
  <si>
    <t>12c-E</t>
  </si>
  <si>
    <t>Bending moment (pos), fb</t>
  </si>
  <si>
    <t>fb_pos</t>
  </si>
  <si>
    <t>Bending moment (neg), fb</t>
  </si>
  <si>
    <t>fb_neg</t>
  </si>
  <si>
    <t>Longitudinal shear, fv</t>
  </si>
  <si>
    <t>fv</t>
  </si>
  <si>
    <t>Compression parallel combined with bending, fcb</t>
  </si>
  <si>
    <t>fcb</t>
  </si>
  <si>
    <t>Compression perpendicular (comp. face), fcp</t>
  </si>
  <si>
    <t>fcp_comp</t>
  </si>
  <si>
    <t>Compression perpendicular (tens. face), fcp</t>
  </si>
  <si>
    <t>fcp_tens</t>
  </si>
  <si>
    <t>Tension net section, ftn</t>
  </si>
  <si>
    <t>ftn</t>
  </si>
  <si>
    <t>Tension gross section, ftg</t>
  </si>
  <si>
    <t>ftg</t>
  </si>
  <si>
    <t>Tension perpendicular to grain, ftp</t>
  </si>
  <si>
    <t>ftp</t>
  </si>
  <si>
    <t>Modulus of elasticity, E</t>
  </si>
  <si>
    <t>E</t>
  </si>
  <si>
    <t>O86-09 Specified strengths and modulus of elasticity for glued-laminated timber, Mpa</t>
  </si>
  <si>
    <t>Species</t>
  </si>
  <si>
    <t>Grade</t>
  </si>
  <si>
    <t>Service Condtion</t>
  </si>
  <si>
    <t>Dry</t>
  </si>
  <si>
    <t>Wet</t>
  </si>
  <si>
    <t>System Factor</t>
  </si>
  <si>
    <t>No Mutual Support</t>
  </si>
  <si>
    <t>Mutual Support &lt; 610 mm apart</t>
  </si>
  <si>
    <t xml:space="preserve">Treatment Factor </t>
  </si>
  <si>
    <t>None</t>
  </si>
  <si>
    <t>Treatment Unincised</t>
  </si>
  <si>
    <t>Other (incl. Fire Retardant)</t>
  </si>
  <si>
    <t>System Effect</t>
  </si>
  <si>
    <t>Service Condition</t>
  </si>
  <si>
    <t>Treatment</t>
  </si>
  <si>
    <t xml:space="preserve">Steel Side Plate </t>
  </si>
  <si>
    <t>Dimensions and Connection Properties</t>
  </si>
  <si>
    <t xml:space="preserve">Wood Main Member </t>
  </si>
  <si>
    <t>=</t>
  </si>
  <si>
    <t>Table 6.3</t>
  </si>
  <si>
    <t>§6.4.3</t>
  </si>
  <si>
    <t>§6.4.2</t>
  </si>
  <si>
    <t>§6.4.4</t>
  </si>
  <si>
    <t>ASTM A307</t>
  </si>
  <si>
    <t>SAE J429</t>
  </si>
  <si>
    <t>Type of steel (influences fy= 310MPa)</t>
  </si>
  <si>
    <t xml:space="preserve">Material Properties </t>
  </si>
  <si>
    <t>Steel Side Plate</t>
  </si>
  <si>
    <t xml:space="preserve">Type </t>
  </si>
  <si>
    <t xml:space="preserve">Grade </t>
  </si>
  <si>
    <t xml:space="preserve">Other (Requires Material Standards) </t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</si>
  <si>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y</t>
    </r>
    <r>
      <rPr>
        <sz val="14"/>
        <color theme="1"/>
        <rFont val="Gill Sans MT"/>
        <family val="2"/>
      </rPr>
      <t xml:space="preserve"> </t>
    </r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</si>
  <si>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tn</t>
    </r>
    <r>
      <rPr>
        <sz val="14"/>
        <color theme="1"/>
        <rFont val="Gill Sans MT"/>
        <family val="2"/>
      </rPr>
      <t xml:space="preserve"> </t>
    </r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</si>
  <si>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tg</t>
    </r>
    <r>
      <rPr>
        <sz val="14"/>
        <color theme="1"/>
        <rFont val="Gill Sans MT"/>
        <family val="2"/>
      </rPr>
      <t xml:space="preserve"> </t>
    </r>
  </si>
  <si>
    <r>
      <rPr>
        <i/>
        <sz val="14"/>
        <color theme="1"/>
        <rFont val="Gill Sans MT"/>
        <family val="2"/>
      </rPr>
      <t>K</t>
    </r>
    <r>
      <rPr>
        <i/>
        <vertAlign val="subscript"/>
        <sz val="14"/>
        <color theme="1"/>
        <rFont val="Gill Sans MT"/>
        <family val="2"/>
      </rPr>
      <t>H</t>
    </r>
    <r>
      <rPr>
        <sz val="14"/>
        <color theme="1"/>
        <rFont val="Gill Sans MT"/>
        <family val="2"/>
      </rPr>
      <t xml:space="preserve"> </t>
    </r>
  </si>
  <si>
    <r>
      <rPr>
        <i/>
        <sz val="14"/>
        <color theme="1"/>
        <rFont val="Gill Sans MT"/>
        <family val="2"/>
      </rPr>
      <t>K</t>
    </r>
    <r>
      <rPr>
        <i/>
        <vertAlign val="subscript"/>
        <sz val="14"/>
        <color theme="1"/>
        <rFont val="Gill Sans MT"/>
        <family val="2"/>
      </rPr>
      <t>St</t>
    </r>
    <r>
      <rPr>
        <sz val="14"/>
        <color theme="1"/>
        <rFont val="Gill Sans MT"/>
        <family val="2"/>
      </rPr>
      <t xml:space="preserve"> </t>
    </r>
  </si>
  <si>
    <r>
      <rPr>
        <i/>
        <sz val="14"/>
        <color theme="1"/>
        <rFont val="Gill Sans MT"/>
        <family val="2"/>
      </rPr>
      <t>K</t>
    </r>
    <r>
      <rPr>
        <i/>
        <vertAlign val="subscript"/>
        <sz val="14"/>
        <color theme="1"/>
        <rFont val="Gill Sans MT"/>
        <family val="2"/>
      </rPr>
      <t>T</t>
    </r>
    <r>
      <rPr>
        <sz val="14"/>
        <color theme="1"/>
        <rFont val="Gill Sans MT"/>
        <family val="2"/>
      </rPr>
      <t xml:space="preserve"> </t>
    </r>
  </si>
  <si>
    <r>
      <t>Width</t>
    </r>
    <r>
      <rPr>
        <i/>
        <sz val="14"/>
        <color theme="1"/>
        <rFont val="Gill Sans MT"/>
        <family val="2"/>
      </rPr>
      <t xml:space="preserve"> b</t>
    </r>
    <r>
      <rPr>
        <sz val="14"/>
        <color theme="1"/>
        <rFont val="Gill Sans MT"/>
        <family val="2"/>
      </rPr>
      <t xml:space="preserve"> =</t>
    </r>
  </si>
  <si>
    <r>
      <t xml:space="preserve">Depth </t>
    </r>
    <r>
      <rPr>
        <i/>
        <sz val="14"/>
        <color theme="1"/>
        <rFont val="Gill Sans MT"/>
        <family val="2"/>
      </rPr>
      <t>d</t>
    </r>
    <r>
      <rPr>
        <sz val="14"/>
        <color theme="1"/>
        <rFont val="Gill Sans MT"/>
        <family val="2"/>
      </rPr>
      <t xml:space="preserve"> =</t>
    </r>
  </si>
  <si>
    <r>
      <t xml:space="preserve">Bolt Diameter </t>
    </r>
    <r>
      <rPr>
        <i/>
        <sz val="14"/>
        <color theme="1"/>
        <rFont val="Gill Sans MT"/>
        <family val="2"/>
      </rPr>
      <t>d</t>
    </r>
    <r>
      <rPr>
        <i/>
        <vertAlign val="subscript"/>
        <sz val="14"/>
        <color theme="1"/>
        <rFont val="Gill Sans MT"/>
        <family val="2"/>
      </rPr>
      <t>F</t>
    </r>
    <r>
      <rPr>
        <sz val="14"/>
        <color theme="1"/>
        <rFont val="Gill Sans MT"/>
        <family val="2"/>
      </rPr>
      <t xml:space="preserve"> =</t>
    </r>
  </si>
  <si>
    <t>§10.4.4.3.3.3</t>
  </si>
  <si>
    <r>
      <rPr>
        <i/>
        <sz val="14"/>
        <color theme="1"/>
        <rFont val="Gill Sans MT"/>
        <family val="2"/>
      </rPr>
      <t>K</t>
    </r>
    <r>
      <rPr>
        <i/>
        <vertAlign val="subscript"/>
        <sz val="14"/>
        <color theme="1"/>
        <rFont val="Gill Sans MT"/>
        <family val="2"/>
      </rPr>
      <t>D</t>
    </r>
    <r>
      <rPr>
        <sz val="14"/>
        <color theme="1"/>
        <rFont val="Gill Sans MT"/>
        <family val="2"/>
      </rPr>
      <t xml:space="preserve"> </t>
    </r>
  </si>
  <si>
    <t>Short Term</t>
  </si>
  <si>
    <t>Standard Term</t>
  </si>
  <si>
    <t xml:space="preserve">Long Term </t>
  </si>
  <si>
    <t>Load Duration Factor</t>
  </si>
  <si>
    <t>Load Duration</t>
  </si>
  <si>
    <t>§4.3.2.2</t>
  </si>
  <si>
    <t>Bolt hole size =</t>
  </si>
  <si>
    <r>
      <t xml:space="preserve">Gross Area </t>
    </r>
    <r>
      <rPr>
        <i/>
        <sz val="12"/>
        <color rgb="FF000000"/>
        <rFont val="Gill Sans MT"/>
        <family val="2"/>
      </rPr>
      <t>A</t>
    </r>
    <r>
      <rPr>
        <i/>
        <vertAlign val="subscript"/>
        <sz val="12"/>
        <color rgb="FF000000"/>
        <rFont val="Gill Sans MT"/>
        <family val="2"/>
      </rPr>
      <t>g</t>
    </r>
    <r>
      <rPr>
        <sz val="12"/>
        <color rgb="FF000000"/>
        <rFont val="Gill Sans MT"/>
        <family val="2"/>
      </rPr>
      <t xml:space="preserve"> =</t>
    </r>
  </si>
  <si>
    <r>
      <t xml:space="preserve">Net Area </t>
    </r>
    <r>
      <rPr>
        <i/>
        <sz val="12"/>
        <color rgb="FF000000"/>
        <rFont val="Gill Sans MT"/>
        <family val="2"/>
      </rPr>
      <t>A</t>
    </r>
    <r>
      <rPr>
        <i/>
        <vertAlign val="subscript"/>
        <sz val="12"/>
        <color rgb="FF000000"/>
        <rFont val="Gill Sans MT"/>
        <family val="2"/>
      </rPr>
      <t>n</t>
    </r>
    <r>
      <rPr>
        <sz val="12"/>
        <color rgb="FF000000"/>
        <rFont val="Gill Sans MT"/>
        <family val="2"/>
      </rPr>
      <t xml:space="preserve"> =</t>
    </r>
  </si>
  <si>
    <t>mm</t>
  </si>
  <si>
    <r>
      <t>mm</t>
    </r>
    <r>
      <rPr>
        <vertAlign val="superscript"/>
        <sz val="12"/>
        <color theme="1"/>
        <rFont val="Gill Sans MT"/>
        <family val="2"/>
      </rPr>
      <t>2</t>
    </r>
  </si>
  <si>
    <t xml:space="preserve"># of Rows </t>
  </si>
  <si>
    <t># Bolts at Connection =</t>
  </si>
  <si>
    <t>Thickness t =</t>
  </si>
  <si>
    <r>
      <rPr>
        <i/>
        <sz val="12"/>
        <color theme="1"/>
        <rFont val="Gill Sans MT"/>
        <family val="2"/>
      </rPr>
      <t>A</t>
    </r>
    <r>
      <rPr>
        <i/>
        <vertAlign val="subscript"/>
        <sz val="12"/>
        <color theme="1"/>
        <rFont val="Gill Sans MT"/>
        <family val="2"/>
      </rPr>
      <t>n</t>
    </r>
    <r>
      <rPr>
        <sz val="12"/>
        <color theme="1"/>
        <rFont val="Gill Sans MT"/>
        <family val="2"/>
      </rPr>
      <t xml:space="preserve"> / </t>
    </r>
    <r>
      <rPr>
        <i/>
        <sz val="12"/>
        <color theme="1"/>
        <rFont val="Gill Sans MT"/>
        <family val="2"/>
      </rPr>
      <t>A</t>
    </r>
    <r>
      <rPr>
        <i/>
        <vertAlign val="subscript"/>
        <sz val="12"/>
        <color theme="1"/>
        <rFont val="Gill Sans MT"/>
        <family val="2"/>
      </rPr>
      <t>g</t>
    </r>
    <r>
      <rPr>
        <sz val="12"/>
        <color theme="1"/>
        <rFont val="Gill Sans MT"/>
        <family val="2"/>
      </rPr>
      <t xml:space="preserve"> =</t>
    </r>
  </si>
  <si>
    <t xml:space="preserve">Factored Lateral Yielding Resistance </t>
  </si>
  <si>
    <t xml:space="preserve">Factored Resistance Parallel to Grain </t>
  </si>
  <si>
    <t>Based on the lesser of:</t>
  </si>
  <si>
    <t xml:space="preserve">Factored Net Tension Resistance </t>
  </si>
  <si>
    <t xml:space="preserve">Factored Net Tension Resistance TN_rT </t>
  </si>
  <si>
    <t xml:space="preserve">Factored Group-Tearout Resistance PG_rT  </t>
  </si>
  <si>
    <t xml:space="preserve">Factored Row Shear ResistancePR_rT </t>
  </si>
  <si>
    <t>Intermediate Calculations</t>
  </si>
  <si>
    <t>Factored Row Shear Resistance</t>
  </si>
  <si>
    <t>Factored Group-Tearout Resitance</t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</si>
  <si>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tn</t>
    </r>
    <r>
      <rPr>
        <sz val="14"/>
        <color theme="1"/>
        <rFont val="Gill Sans MT"/>
        <family val="2"/>
      </rPr>
      <t xml:space="preserve"> =</t>
    </r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</si>
  <si>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tg</t>
    </r>
    <r>
      <rPr>
        <sz val="14"/>
        <color theme="1"/>
        <rFont val="Gill Sans MT"/>
        <family val="2"/>
      </rPr>
      <t xml:space="preserve"> =</t>
    </r>
  </si>
  <si>
    <r>
      <rPr>
        <i/>
        <sz val="14"/>
        <color theme="1"/>
        <rFont val="Gill Sans MT"/>
        <family val="2"/>
      </rPr>
      <t>T</t>
    </r>
    <r>
      <rPr>
        <i/>
        <vertAlign val="subscript"/>
        <sz val="14"/>
        <color theme="1"/>
        <rFont val="Gill Sans MT"/>
        <family val="2"/>
      </rPr>
      <t>rn</t>
    </r>
    <r>
      <rPr>
        <sz val="14"/>
        <color theme="1"/>
        <rFont val="Gill Sans MT"/>
        <family val="2"/>
      </rPr>
      <t xml:space="preserve"> =</t>
    </r>
  </si>
  <si>
    <r>
      <rPr>
        <i/>
        <sz val="14"/>
        <color theme="1"/>
        <rFont val="Gill Sans MT"/>
        <family val="2"/>
      </rPr>
      <t>T</t>
    </r>
    <r>
      <rPr>
        <i/>
        <vertAlign val="subscript"/>
        <sz val="14"/>
        <color theme="1"/>
        <rFont val="Gill Sans MT"/>
        <family val="2"/>
      </rPr>
      <t>rg</t>
    </r>
    <r>
      <rPr>
        <sz val="14"/>
        <color theme="1"/>
        <rFont val="Gill Sans MT"/>
        <family val="2"/>
      </rPr>
      <t xml:space="preserve"> =</t>
    </r>
  </si>
  <si>
    <r>
      <rPr>
        <i/>
        <sz val="14"/>
        <color theme="1"/>
        <rFont val="Gill Sans MT"/>
        <family val="2"/>
      </rPr>
      <t>T</t>
    </r>
    <r>
      <rPr>
        <i/>
        <vertAlign val="subscript"/>
        <sz val="14"/>
        <color theme="1"/>
        <rFont val="Gill Sans MT"/>
        <family val="2"/>
      </rPr>
      <t>r</t>
    </r>
    <r>
      <rPr>
        <sz val="14"/>
        <color theme="1"/>
        <rFont val="Gill Sans MT"/>
        <family val="2"/>
      </rPr>
      <t xml:space="preserve"> =</t>
    </r>
  </si>
  <si>
    <r>
      <rPr>
        <sz val="14"/>
        <color theme="1"/>
        <rFont val="Calibri"/>
        <family val="2"/>
      </rPr>
      <t>φ</t>
    </r>
    <r>
      <rPr>
        <sz val="14"/>
        <color theme="1"/>
        <rFont val="Gill Sans MT"/>
        <family val="2"/>
      </rPr>
      <t xml:space="preserve">  =</t>
    </r>
  </si>
  <si>
    <t>MPa</t>
  </si>
  <si>
    <t>kN</t>
  </si>
  <si>
    <t>Φy</t>
  </si>
  <si>
    <t>ns</t>
  </si>
  <si>
    <t>§6.5.11</t>
  </si>
  <si>
    <t>§10.4.4.3.1</t>
  </si>
  <si>
    <t>f1</t>
  </si>
  <si>
    <t>Φsteel</t>
  </si>
  <si>
    <t>§10.4.4.3.2</t>
  </si>
  <si>
    <t>§10.4.4.3.3.2</t>
  </si>
  <si>
    <t>fu</t>
  </si>
  <si>
    <t>§10.4.4.3.3.4</t>
  </si>
  <si>
    <t>f2</t>
  </si>
  <si>
    <t>G</t>
  </si>
  <si>
    <t>§10.4.4.3.3.1</t>
  </si>
  <si>
    <t>Table A.10.1</t>
  </si>
  <si>
    <t>nf</t>
  </si>
  <si>
    <t>t1</t>
  </si>
  <si>
    <t>t2</t>
  </si>
  <si>
    <t>nu, min of:</t>
  </si>
  <si>
    <t>Bearing Failure of Side Plate</t>
  </si>
  <si>
    <t xml:space="preserve">Main Member Bearing Failure </t>
  </si>
  <si>
    <t>Nail Yields Inside Plate</t>
  </si>
  <si>
    <t xml:space="preserve">Nail Yields in Main Member </t>
  </si>
  <si>
    <t>§10.4.4.3.3</t>
  </si>
  <si>
    <t>§10.4.4.3.4</t>
  </si>
  <si>
    <t>§10.4.4.3.5</t>
  </si>
  <si>
    <t>§10.4.4.3.6</t>
  </si>
  <si>
    <t>§10.4.4.3.7</t>
  </si>
  <si>
    <t>Bearing Failure in Both Members</t>
  </si>
  <si>
    <t xml:space="preserve">Nail Yields in Double Bending </t>
  </si>
  <si>
    <t xml:space="preserve">Therefore nu = </t>
  </si>
  <si>
    <t>Nr</t>
  </si>
  <si>
    <t xml:space="preserve">Calculated as </t>
  </si>
  <si>
    <t>nc</t>
  </si>
  <si>
    <t>Fastners/Row, nc</t>
  </si>
  <si>
    <t>Φw</t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</si>
  <si>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v</t>
    </r>
    <r>
      <rPr>
        <sz val="14"/>
        <color theme="1"/>
        <rFont val="Gill Sans MT"/>
        <family val="2"/>
      </rPr>
      <t xml:space="preserve"> </t>
    </r>
  </si>
  <si>
    <t>§10.4.4.4</t>
  </si>
  <si>
    <t>Kls</t>
  </si>
  <si>
    <t>t</t>
  </si>
  <si>
    <t>acri</t>
  </si>
  <si>
    <t>§10.4.3.1</t>
  </si>
  <si>
    <r>
      <t xml:space="preserve">Fastner Spacing in a Row </t>
    </r>
    <r>
      <rPr>
        <i/>
        <sz val="14"/>
        <color theme="1"/>
        <rFont val="Gill Sans MT"/>
        <family val="2"/>
      </rPr>
      <t>S</t>
    </r>
    <r>
      <rPr>
        <i/>
        <vertAlign val="subscript"/>
        <sz val="14"/>
        <color theme="1"/>
        <rFont val="Gill Sans MT"/>
        <family val="2"/>
      </rPr>
      <t xml:space="preserve">R     </t>
    </r>
    <r>
      <rPr>
        <sz val="14"/>
        <color theme="1"/>
        <rFont val="Gill Sans MT"/>
        <family val="2"/>
      </rPr>
      <t xml:space="preserve"> </t>
    </r>
  </si>
  <si>
    <r>
      <t xml:space="preserve">Row Spacing </t>
    </r>
    <r>
      <rPr>
        <i/>
        <sz val="14"/>
        <color theme="1"/>
        <rFont val="Gill Sans MT"/>
        <family val="2"/>
      </rPr>
      <t>S</t>
    </r>
    <r>
      <rPr>
        <i/>
        <vertAlign val="subscript"/>
        <sz val="14"/>
        <color theme="1"/>
        <rFont val="Gill Sans MT"/>
        <family val="2"/>
      </rPr>
      <t>C</t>
    </r>
    <r>
      <rPr>
        <sz val="14"/>
        <color theme="1"/>
        <rFont val="Gill Sans MT"/>
        <family val="2"/>
      </rPr>
      <t xml:space="preserve"> </t>
    </r>
  </si>
  <si>
    <t>Select Dimensions for:</t>
  </si>
  <si>
    <r>
      <t xml:space="preserve">Loaded end distance </t>
    </r>
    <r>
      <rPr>
        <i/>
        <sz val="14"/>
        <color theme="1"/>
        <rFont val="Gill Sans MT"/>
        <family val="2"/>
      </rPr>
      <t>a</t>
    </r>
    <r>
      <rPr>
        <i/>
        <vertAlign val="subscript"/>
        <sz val="14"/>
        <color theme="1"/>
        <rFont val="Gill Sans MT"/>
        <family val="2"/>
      </rPr>
      <t>L</t>
    </r>
    <r>
      <rPr>
        <sz val="14"/>
        <color theme="1"/>
        <rFont val="Gill Sans MT"/>
        <family val="2"/>
      </rPr>
      <t xml:space="preserve"> </t>
    </r>
  </si>
  <si>
    <r>
      <t xml:space="preserve">Unloaded edge distance </t>
    </r>
    <r>
      <rPr>
        <i/>
        <sz val="14"/>
        <color theme="1"/>
        <rFont val="Gill Sans MT"/>
        <family val="2"/>
      </rPr>
      <t>e</t>
    </r>
    <r>
      <rPr>
        <i/>
        <vertAlign val="subscript"/>
        <sz val="14"/>
        <color theme="1"/>
        <rFont val="Gill Sans MT"/>
        <family val="2"/>
      </rPr>
      <t>p</t>
    </r>
    <r>
      <rPr>
        <sz val="14"/>
        <color theme="1"/>
        <rFont val="Gill Sans MT"/>
        <family val="2"/>
      </rPr>
      <t xml:space="preserve"> </t>
    </r>
  </si>
  <si>
    <r>
      <t>PR</t>
    </r>
    <r>
      <rPr>
        <i/>
        <vertAlign val="subscript"/>
        <sz val="14"/>
        <color theme="1"/>
        <rFont val="Gill Sans MT"/>
        <family val="2"/>
      </rPr>
      <t>ij, min</t>
    </r>
    <r>
      <rPr>
        <sz val="14"/>
        <color theme="1"/>
        <rFont val="Gill Sans MT"/>
        <family val="2"/>
      </rPr>
      <t xml:space="preserve"> </t>
    </r>
  </si>
  <si>
    <r>
      <t>PR</t>
    </r>
    <r>
      <rPr>
        <i/>
        <vertAlign val="subscript"/>
        <sz val="14"/>
        <color theme="1"/>
        <rFont val="Gill Sans MT"/>
        <family val="2"/>
      </rPr>
      <t xml:space="preserve">r i </t>
    </r>
    <r>
      <rPr>
        <sz val="14"/>
        <color theme="1"/>
        <rFont val="Gill Sans MT"/>
        <family val="2"/>
      </rPr>
      <t xml:space="preserve"> </t>
    </r>
  </si>
  <si>
    <t>§4.3.8.1</t>
  </si>
  <si>
    <t>Calculed as</t>
  </si>
  <si>
    <r>
      <t>PR</t>
    </r>
    <r>
      <rPr>
        <i/>
        <vertAlign val="subscript"/>
        <sz val="14"/>
        <color theme="1"/>
        <rFont val="Gill Sans MT"/>
        <family val="2"/>
      </rPr>
      <t>i1</t>
    </r>
    <r>
      <rPr>
        <sz val="14"/>
        <color theme="1"/>
        <rFont val="Gill Sans MT"/>
        <family val="2"/>
      </rPr>
      <t xml:space="preserve"> </t>
    </r>
  </si>
  <si>
    <r>
      <rPr>
        <i/>
        <sz val="14"/>
        <color theme="1"/>
        <rFont val="Gill Sans MT"/>
        <family val="2"/>
      </rPr>
      <t>K</t>
    </r>
    <r>
      <rPr>
        <i/>
        <vertAlign val="subscript"/>
        <sz val="14"/>
        <color theme="1"/>
        <rFont val="Gill Sans MT"/>
        <family val="2"/>
      </rPr>
      <t>SF</t>
    </r>
    <r>
      <rPr>
        <sz val="14"/>
        <color theme="1"/>
        <rFont val="Gill Sans MT"/>
        <family val="2"/>
      </rPr>
      <t xml:space="preserve"> </t>
    </r>
  </si>
  <si>
    <t>§10.2.1.5</t>
  </si>
  <si>
    <t xml:space="preserve">Service condition factor for fastners </t>
  </si>
  <si>
    <t>Service condition factor (bolts)</t>
  </si>
  <si>
    <r>
      <t>PG</t>
    </r>
    <r>
      <rPr>
        <i/>
        <vertAlign val="subscript"/>
        <sz val="14"/>
        <color theme="1"/>
        <rFont val="Gill Sans MT"/>
        <family val="2"/>
      </rPr>
      <t>r i</t>
    </r>
    <r>
      <rPr>
        <sz val="14"/>
        <color theme="1"/>
        <rFont val="Gill Sans MT"/>
        <family val="2"/>
      </rPr>
      <t xml:space="preserve"> </t>
    </r>
  </si>
  <si>
    <r>
      <t>A</t>
    </r>
    <r>
      <rPr>
        <i/>
        <vertAlign val="subscript"/>
        <sz val="14"/>
        <color theme="1"/>
        <rFont val="Gill Sans MT"/>
        <family val="2"/>
      </rPr>
      <t xml:space="preserve">PGi </t>
    </r>
    <r>
      <rPr>
        <sz val="14"/>
        <color theme="1"/>
        <rFont val="Gill Sans MT"/>
        <family val="2"/>
      </rPr>
      <t xml:space="preserve"> </t>
    </r>
  </si>
  <si>
    <t>§10.4.4.5</t>
  </si>
  <si>
    <t>Compression parallel, fc</t>
  </si>
  <si>
    <t>fc</t>
  </si>
  <si>
    <r>
      <rPr>
        <i/>
        <sz val="14"/>
        <color theme="1"/>
        <rFont val="Gill Sans MT"/>
        <family val="2"/>
      </rPr>
      <t>f</t>
    </r>
    <r>
      <rPr>
        <i/>
        <vertAlign val="subscript"/>
        <sz val="14"/>
        <color theme="1"/>
        <rFont val="Gill Sans MT"/>
        <family val="2"/>
      </rPr>
      <t>C</t>
    </r>
    <r>
      <rPr>
        <sz val="14"/>
        <color theme="1"/>
        <rFont val="Gill Sans MT"/>
        <family val="2"/>
      </rPr>
      <t xml:space="preserve"> </t>
    </r>
  </si>
  <si>
    <t>nr</t>
  </si>
  <si>
    <r>
      <t>PR</t>
    </r>
    <r>
      <rPr>
        <i/>
        <vertAlign val="subscript"/>
        <sz val="14"/>
        <color theme="1"/>
        <rFont val="Gill Sans MT"/>
        <family val="2"/>
      </rPr>
      <t>inR</t>
    </r>
    <r>
      <rPr>
        <sz val="14"/>
        <color theme="1"/>
        <rFont val="Gill Sans MT"/>
        <family val="2"/>
      </rPr>
      <t xml:space="preserve"> </t>
    </r>
  </si>
  <si>
    <t>RESULTS</t>
  </si>
  <si>
    <t xml:space="preserve">Factors </t>
  </si>
  <si>
    <t>Fastner Properties</t>
  </si>
  <si>
    <t>MPa, §10.4.4.3.3.3</t>
  </si>
  <si>
    <t xml:space="preserve">                                                                                                                </t>
  </si>
  <si>
    <t>integer value</t>
  </si>
  <si>
    <t>§10.9.2.2</t>
  </si>
  <si>
    <t>acr1</t>
  </si>
  <si>
    <t>April, 2014</t>
  </si>
  <si>
    <t>For EDUCATIONAL PURPOSES ONLY - Not for use as a design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</si>
</sst>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Gill Sans MT"/>
      <family val="2"/>
    </font>
    <font>
      <i/>
      <sz val="14"/>
      <color theme="1"/>
      <name val="Gill Sans MT"/>
      <family val="2"/>
    </font>
    <font>
      <i/>
      <vertAlign val="subscript"/>
      <sz val="14"/>
      <color theme="1"/>
      <name val="Gill Sans M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Gill Sans MT"/>
      <family val="2"/>
    </font>
    <font>
      <i/>
      <sz val="12"/>
      <color rgb="FF000000"/>
      <name val="Gill Sans MT"/>
      <family val="2"/>
    </font>
    <font>
      <i/>
      <vertAlign val="subscript"/>
      <sz val="12"/>
      <color rgb="FF000000"/>
      <name val="Gill Sans MT"/>
      <family val="2"/>
    </font>
    <font>
      <sz val="12"/>
      <color theme="1"/>
      <name val="Gill Sans MT"/>
      <family val="2"/>
    </font>
    <font>
      <vertAlign val="superscript"/>
      <sz val="12"/>
      <color theme="1"/>
      <name val="Gill Sans MT"/>
      <family val="2"/>
    </font>
    <font>
      <i/>
      <sz val="12"/>
      <color theme="1"/>
      <name val="Gill Sans MT"/>
      <family val="2"/>
    </font>
    <font>
      <i/>
      <vertAlign val="subscript"/>
      <sz val="12"/>
      <color theme="1"/>
      <name val="Gill Sans MT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4"/>
      <color rgb="FF000000"/>
      <name val="Gill Sans MT"/>
      <family val="2"/>
    </font>
    <font>
      <b/>
      <u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3" fillId="2" borderId="0" xfId="0" applyFont="1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0" fontId="3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11" fillId="2" borderId="0" xfId="0" applyFont="1" applyFill="1"/>
    <xf numFmtId="0" fontId="12" fillId="2" borderId="0" xfId="0" applyFont="1" applyFill="1"/>
    <xf numFmtId="0" fontId="3" fillId="2" borderId="10" xfId="0" applyFont="1" applyFill="1" applyBorder="1"/>
    <xf numFmtId="0" fontId="3" fillId="4" borderId="12" xfId="0" applyFont="1" applyFill="1" applyBorder="1"/>
    <xf numFmtId="0" fontId="3" fillId="2" borderId="3" xfId="0" applyFont="1" applyFill="1" applyBorder="1"/>
    <xf numFmtId="0" fontId="8" fillId="2" borderId="5" xfId="0" applyFont="1" applyFill="1" applyBorder="1"/>
    <xf numFmtId="2" fontId="2" fillId="2" borderId="0" xfId="0" applyNumberFormat="1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8" fillId="2" borderId="1" xfId="0" applyFont="1" applyFill="1" applyBorder="1"/>
    <xf numFmtId="2" fontId="24" fillId="2" borderId="1" xfId="0" applyNumberFormat="1" applyFont="1" applyFill="1" applyBorder="1"/>
    <xf numFmtId="2" fontId="24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4" xfId="0" applyFont="1" applyFill="1" applyBorder="1"/>
    <xf numFmtId="0" fontId="3" fillId="2" borderId="4" xfId="0" applyFont="1" applyFill="1" applyBorder="1"/>
    <xf numFmtId="0" fontId="17" fillId="2" borderId="5" xfId="0" applyFont="1" applyFill="1" applyBorder="1"/>
    <xf numFmtId="0" fontId="2" fillId="5" borderId="14" xfId="0" applyFont="1" applyFill="1" applyBorder="1" applyAlignment="1">
      <alignment horizontal="left"/>
    </xf>
    <xf numFmtId="0" fontId="7" fillId="5" borderId="12" xfId="0" applyFont="1" applyFill="1" applyBorder="1"/>
    <xf numFmtId="0" fontId="3" fillId="5" borderId="12" xfId="0" applyFont="1" applyFill="1" applyBorder="1"/>
    <xf numFmtId="0" fontId="3" fillId="5" borderId="15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10" xfId="0" applyFont="1" applyFill="1" applyBorder="1"/>
    <xf numFmtId="164" fontId="3" fillId="4" borderId="10" xfId="0" applyNumberFormat="1" applyFont="1" applyFill="1" applyBorder="1"/>
    <xf numFmtId="164" fontId="3" fillId="4" borderId="11" xfId="0" applyNumberFormat="1" applyFont="1" applyFill="1" applyBorder="1"/>
    <xf numFmtId="0" fontId="2" fillId="5" borderId="12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3" xfId="0" applyFont="1" applyFill="1" applyBorder="1"/>
    <xf numFmtId="0" fontId="3" fillId="4" borderId="5" xfId="0" applyFont="1" applyFill="1" applyBorder="1"/>
    <xf numFmtId="0" fontId="8" fillId="4" borderId="5" xfId="0" applyFont="1" applyFill="1" applyBorder="1"/>
    <xf numFmtId="0" fontId="3" fillId="4" borderId="0" xfId="0" applyFont="1" applyFill="1" applyBorder="1"/>
    <xf numFmtId="0" fontId="17" fillId="2" borderId="0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3" fillId="2" borderId="7" xfId="0" applyFont="1" applyFill="1" applyBorder="1"/>
    <xf numFmtId="0" fontId="22" fillId="3" borderId="0" xfId="0" applyFont="1" applyFill="1" applyBorder="1"/>
    <xf numFmtId="0" fontId="14" fillId="3" borderId="0" xfId="0" applyFont="1" applyFill="1" applyBorder="1"/>
    <xf numFmtId="164" fontId="2" fillId="4" borderId="9" xfId="0" applyNumberFormat="1" applyFont="1" applyFill="1" applyBorder="1"/>
    <xf numFmtId="2" fontId="2" fillId="4" borderId="10" xfId="0" applyNumberFormat="1" applyFont="1" applyFill="1" applyBorder="1"/>
    <xf numFmtId="1" fontId="2" fillId="4" borderId="10" xfId="0" applyNumberFormat="1" applyFont="1" applyFill="1" applyBorder="1"/>
    <xf numFmtId="164" fontId="2" fillId="4" borderId="10" xfId="0" applyNumberFormat="1" applyFont="1" applyFill="1" applyBorder="1"/>
    <xf numFmtId="1" fontId="2" fillId="4" borderId="10" xfId="0" applyNumberFormat="1" applyFont="1" applyFill="1" applyBorder="1" applyAlignment="1">
      <alignment horizontal="right"/>
    </xf>
    <xf numFmtId="2" fontId="2" fillId="4" borderId="11" xfId="0" applyNumberFormat="1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2" fontId="2" fillId="4" borderId="9" xfId="0" applyNumberFormat="1" applyFont="1" applyFill="1" applyBorder="1"/>
    <xf numFmtId="0" fontId="21" fillId="7" borderId="14" xfId="0" applyFont="1" applyFill="1" applyBorder="1" applyAlignment="1">
      <alignment horizontal="left"/>
    </xf>
    <xf numFmtId="0" fontId="21" fillId="7" borderId="12" xfId="0" applyFont="1" applyFill="1" applyBorder="1"/>
    <xf numFmtId="0" fontId="22" fillId="7" borderId="12" xfId="0" applyFont="1" applyFill="1" applyBorder="1"/>
    <xf numFmtId="0" fontId="22" fillId="7" borderId="15" xfId="0" applyFont="1" applyFill="1" applyBorder="1"/>
    <xf numFmtId="0" fontId="3" fillId="2" borderId="6" xfId="0" applyFont="1" applyFill="1" applyBorder="1"/>
    <xf numFmtId="0" fontId="3" fillId="4" borderId="14" xfId="0" applyFont="1" applyFill="1" applyBorder="1"/>
    <xf numFmtId="0" fontId="3" fillId="4" borderId="13" xfId="0" applyFont="1" applyFill="1" applyBorder="1"/>
    <xf numFmtId="0" fontId="3" fillId="4" borderId="0" xfId="0" applyFont="1" applyFill="1" applyBorder="1" applyAlignment="1">
      <alignment horizontal="right"/>
    </xf>
    <xf numFmtId="2" fontId="26" fillId="6" borderId="0" xfId="0" applyNumberFormat="1" applyFont="1" applyFill="1" applyBorder="1" applyAlignment="1">
      <alignment horizontal="right"/>
    </xf>
    <xf numFmtId="0" fontId="3" fillId="4" borderId="1" xfId="0" applyFont="1" applyFill="1" applyBorder="1"/>
    <xf numFmtId="2" fontId="24" fillId="4" borderId="0" xfId="0" applyNumberFormat="1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9" xfId="0" applyFont="1" applyFill="1" applyBorder="1" applyAlignment="1">
      <alignment horizontal="right"/>
    </xf>
    <xf numFmtId="2" fontId="2" fillId="4" borderId="13" xfId="0" applyNumberFormat="1" applyFont="1" applyFill="1" applyBorder="1"/>
    <xf numFmtId="0" fontId="8" fillId="4" borderId="3" xfId="0" applyFont="1" applyFill="1" applyBorder="1"/>
    <xf numFmtId="0" fontId="2" fillId="4" borderId="10" xfId="0" applyFont="1" applyFill="1" applyBorder="1" applyAlignment="1">
      <alignment horizontal="right"/>
    </xf>
    <xf numFmtId="2" fontId="2" fillId="4" borderId="0" xfId="0" applyNumberFormat="1" applyFont="1" applyFill="1" applyBorder="1"/>
    <xf numFmtId="0" fontId="2" fillId="4" borderId="6" xfId="0" applyFont="1" applyFill="1" applyBorder="1"/>
    <xf numFmtId="0" fontId="2" fillId="4" borderId="1" xfId="0" applyFont="1" applyFill="1" applyBorder="1"/>
    <xf numFmtId="0" fontId="2" fillId="4" borderId="11" xfId="0" applyFont="1" applyFill="1" applyBorder="1" applyAlignment="1">
      <alignment horizontal="right"/>
    </xf>
    <xf numFmtId="2" fontId="2" fillId="4" borderId="1" xfId="0" applyNumberFormat="1" applyFont="1" applyFill="1" applyBorder="1"/>
    <xf numFmtId="0" fontId="25" fillId="6" borderId="7" xfId="0" applyFont="1" applyFill="1" applyBorder="1"/>
    <xf numFmtId="2" fontId="24" fillId="2" borderId="1" xfId="0" applyNumberFormat="1" applyFont="1" applyFill="1" applyBorder="1" applyAlignment="1">
      <alignment horizontal="right"/>
    </xf>
    <xf numFmtId="0" fontId="2" fillId="8" borderId="14" xfId="0" applyFont="1" applyFill="1" applyBorder="1"/>
    <xf numFmtId="0" fontId="3" fillId="8" borderId="12" xfId="0" applyFont="1" applyFill="1" applyBorder="1"/>
    <xf numFmtId="0" fontId="3" fillId="8" borderId="15" xfId="0" applyFont="1" applyFill="1" applyBorder="1"/>
    <xf numFmtId="0" fontId="13" fillId="2" borderId="0" xfId="0" applyFont="1" applyFill="1" applyBorder="1"/>
    <xf numFmtId="0" fontId="8" fillId="2" borderId="0" xfId="0" applyFont="1" applyFill="1" applyBorder="1" applyAlignment="1">
      <alignment horizontal="right" indent="4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14" fillId="3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1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left"/>
    </xf>
    <xf numFmtId="0" fontId="2" fillId="8" borderId="12" xfId="0" applyFont="1" applyFill="1" applyBorder="1"/>
    <xf numFmtId="0" fontId="0" fillId="0" borderId="8" xfId="0" applyBorder="1"/>
    <xf numFmtId="164" fontId="0" fillId="0" borderId="8" xfId="0" applyNumberFormat="1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Fill="1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3" xfId="0" applyBorder="1"/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8" fillId="2" borderId="10" xfId="0" applyFont="1" applyFill="1" applyBorder="1"/>
    <xf numFmtId="0" fontId="25" fillId="3" borderId="5" xfId="0" applyFont="1" applyFill="1" applyBorder="1"/>
    <xf numFmtId="0" fontId="13" fillId="2" borderId="5" xfId="0" applyFont="1" applyFill="1" applyBorder="1"/>
    <xf numFmtId="2" fontId="3" fillId="4" borderId="8" xfId="0" applyNumberFormat="1" applyFont="1" applyFill="1" applyBorder="1"/>
    <xf numFmtId="0" fontId="3" fillId="2" borderId="0" xfId="0" applyFont="1" applyFill="1" applyAlignment="1">
      <alignment horizontal="right"/>
    </xf>
    <xf numFmtId="2" fontId="3" fillId="4" borderId="11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7" fontId="2" fillId="2" borderId="11" xfId="0" applyNumberFormat="1" applyFont="1" applyFill="1" applyBorder="1" applyAlignment="1">
      <alignment horizontal="right"/>
    </xf>
    <xf numFmtId="2" fontId="3" fillId="4" borderId="10" xfId="0" applyNumberFormat="1" applyFont="1" applyFill="1" applyBorder="1"/>
    <xf numFmtId="0" fontId="28" fillId="2" borderId="0" xfId="0" applyFont="1" applyFill="1"/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901700</xdr:colOff>
      <xdr:row>79</xdr:row>
      <xdr:rowOff>12700</xdr:rowOff>
    </xdr:from>
    <xdr:to>
      <xdr:col>9</xdr:col>
      <xdr:colOff>1511300</xdr:colOff>
      <xdr:row>85</xdr:row>
      <xdr:rowOff>165100</xdr:rowOff>
    </xdr:to>
    <xdr:pic>
      <xdr:nvPicPr>
        <xdr:cNvPr id="2" name="Picture 1" descr="row shea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1300" y="18288000"/>
          <a:ext cx="609600" cy="1536700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89</xdr:row>
      <xdr:rowOff>190500</xdr:rowOff>
    </xdr:from>
    <xdr:to>
      <xdr:col>9</xdr:col>
      <xdr:colOff>1663700</xdr:colOff>
      <xdr:row>96</xdr:row>
      <xdr:rowOff>152400</xdr:rowOff>
    </xdr:to>
    <xdr:pic>
      <xdr:nvPicPr>
        <xdr:cNvPr id="3" name="Picture 2" descr="group tearou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20777200"/>
          <a:ext cx="965200" cy="15875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635000</xdr:colOff>
      <xdr:row>57</xdr:row>
      <xdr:rowOff>114300</xdr:rowOff>
    </xdr:from>
    <xdr:to>
      <xdr:col>9</xdr:col>
      <xdr:colOff>1549400</xdr:colOff>
      <xdr:row>64</xdr:row>
      <xdr:rowOff>76200</xdr:rowOff>
    </xdr:to>
    <xdr:pic>
      <xdr:nvPicPr>
        <xdr:cNvPr id="4" name="Picture 3" descr="yielding 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4600" y="13360400"/>
          <a:ext cx="914400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889000</xdr:colOff>
      <xdr:row>104</xdr:row>
      <xdr:rowOff>203200</xdr:rowOff>
    </xdr:from>
    <xdr:to>
      <xdr:col>9</xdr:col>
      <xdr:colOff>1498600</xdr:colOff>
      <xdr:row>111</xdr:row>
      <xdr:rowOff>88900</xdr:rowOff>
    </xdr:to>
    <xdr:pic>
      <xdr:nvPicPr>
        <xdr:cNvPr id="5" name="Picture 4" descr="net tension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4269700"/>
          <a:ext cx="609600" cy="1536700"/>
        </a:xfrm>
        <a:prstGeom prst="rect">
          <a:avLst/>
        </a:prstGeom>
      </xdr:spPr>
    </xdr:pic>
    <xdr:clientData/>
  </xdr:twoCellAnchor>
  <xdr:twoCellAnchor editAs="oneCell">
    <xdr:from>
      <xdr:col>7</xdr:col>
      <xdr:colOff>406400</xdr:colOff>
      <xdr:row>27</xdr:row>
      <xdr:rowOff>215900</xdr:rowOff>
    </xdr:from>
    <xdr:to>
      <xdr:col>9</xdr:col>
      <xdr:colOff>2120900</xdr:colOff>
      <xdr:row>33</xdr:row>
      <xdr:rowOff>139499</xdr:rowOff>
    </xdr:to>
    <xdr:pic>
      <xdr:nvPicPr>
        <xdr:cNvPr id="6" name="Picture 5" descr="dimension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900" y="6540500"/>
          <a:ext cx="3060700" cy="1295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topLeftCell="A112" workbookViewId="0">
      <selection activeCell="D5" sqref="D5"/>
    </sheetView>
  </sheetViews>
  <sheetFormatPr defaultColWidth="10.875" defaultRowHeight="18.75" x14ac:dyDescent="0.3"/>
  <cols>
    <col min="1" max="1" width="8.5" style="1" customWidth="1"/>
    <col min="2" max="2" width="7.875" style="1" customWidth="1"/>
    <col min="3" max="4" width="10.875" style="1"/>
    <col min="5" max="5" width="42.625" style="1" bestFit="1" customWidth="1"/>
    <col min="6" max="6" width="31.625" style="1" bestFit="1" customWidth="1"/>
    <col min="7" max="7" width="5.125" style="1" bestFit="1" customWidth="1"/>
    <col min="8" max="8" width="14.625" style="1" customWidth="1"/>
    <col min="9" max="9" width="3" style="1" customWidth="1"/>
    <col min="10" max="10" width="31.5" style="1" bestFit="1" customWidth="1"/>
    <col min="11" max="11" width="17.375" style="1" customWidth="1"/>
    <col min="12" max="12" width="8" style="1" customWidth="1"/>
    <col min="13" max="16384" width="10.875" style="1"/>
  </cols>
  <sheetData>
    <row r="1" spans="1:16" ht="21" x14ac:dyDescent="0.35">
      <c r="A1" s="9" t="s">
        <v>2</v>
      </c>
      <c r="B1" s="10"/>
      <c r="C1" s="10"/>
      <c r="D1" s="10"/>
      <c r="E1" s="10"/>
      <c r="F1" s="10"/>
      <c r="G1" s="10"/>
    </row>
    <row r="2" spans="1:16" ht="24.75" x14ac:dyDescent="0.5">
      <c r="A2" s="131" t="s">
        <v>182</v>
      </c>
      <c r="K2" s="7"/>
      <c r="L2" s="7"/>
      <c r="M2" s="7"/>
    </row>
    <row r="3" spans="1:16" x14ac:dyDescent="0.3">
      <c r="J3" s="127" t="s">
        <v>0</v>
      </c>
      <c r="K3" s="17"/>
      <c r="L3" s="7"/>
      <c r="M3" s="7"/>
    </row>
    <row r="4" spans="1:16" x14ac:dyDescent="0.3">
      <c r="J4" s="128"/>
      <c r="K4" s="17"/>
      <c r="L4" s="7"/>
      <c r="M4" s="7"/>
    </row>
    <row r="5" spans="1:16" x14ac:dyDescent="0.3">
      <c r="J5" s="129" t="s">
        <v>181</v>
      </c>
      <c r="K5" s="126"/>
      <c r="L5" s="7"/>
      <c r="M5" s="7"/>
    </row>
    <row r="7" spans="1:16" x14ac:dyDescent="0.3">
      <c r="A7" s="83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7"/>
      <c r="N7" s="7"/>
      <c r="O7" s="7"/>
      <c r="P7" s="7"/>
    </row>
    <row r="8" spans="1:16" x14ac:dyDescent="0.3">
      <c r="A8" s="23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7"/>
      <c r="P8" s="7"/>
    </row>
    <row r="9" spans="1:16" x14ac:dyDescent="0.3">
      <c r="A9" s="24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7"/>
      <c r="O9" s="7"/>
      <c r="P9" s="7"/>
    </row>
    <row r="10" spans="1:16" x14ac:dyDescent="0.3">
      <c r="A10" s="24"/>
      <c r="B10" s="26" t="s">
        <v>61</v>
      </c>
      <c r="C10" s="27"/>
      <c r="D10" s="28"/>
      <c r="E10" s="29"/>
      <c r="F10" s="5"/>
      <c r="G10" s="5"/>
      <c r="H10" s="5"/>
      <c r="I10" s="5"/>
      <c r="J10" s="5"/>
      <c r="K10" s="5"/>
      <c r="L10" s="8"/>
      <c r="M10" s="7"/>
      <c r="N10" s="7"/>
      <c r="O10" s="7"/>
      <c r="P10" s="7"/>
    </row>
    <row r="11" spans="1:16" x14ac:dyDescent="0.3">
      <c r="A11" s="24"/>
      <c r="B11" s="119"/>
      <c r="C11" s="92"/>
      <c r="D11" s="7"/>
      <c r="E11" s="7"/>
      <c r="F11" s="7"/>
      <c r="G11" s="7"/>
      <c r="H11" s="7"/>
      <c r="I11" s="7"/>
      <c r="J11" s="7"/>
      <c r="K11" s="13"/>
      <c r="L11" s="8"/>
      <c r="M11" s="7"/>
      <c r="N11" s="7"/>
      <c r="O11" s="7"/>
      <c r="P11" s="7"/>
    </row>
    <row r="12" spans="1:16" x14ac:dyDescent="0.3">
      <c r="A12" s="24"/>
      <c r="B12" s="23"/>
      <c r="C12" s="5" t="s">
        <v>80</v>
      </c>
      <c r="D12" s="5"/>
      <c r="E12" s="5"/>
      <c r="F12" s="7"/>
      <c r="G12" s="7"/>
      <c r="H12" s="7"/>
      <c r="I12" s="7"/>
      <c r="J12" s="7"/>
      <c r="K12" s="8"/>
      <c r="L12" s="8"/>
      <c r="M12" s="7"/>
      <c r="N12" s="7"/>
      <c r="O12" s="7"/>
      <c r="P12" s="7"/>
    </row>
    <row r="13" spans="1:16" ht="21.75" x14ac:dyDescent="0.45">
      <c r="A13" s="24"/>
      <c r="B13" s="23"/>
      <c r="C13" s="7"/>
      <c r="D13" s="7"/>
      <c r="E13" s="7" t="s">
        <v>81</v>
      </c>
      <c r="F13" s="30" t="s">
        <v>78</v>
      </c>
      <c r="G13" s="7"/>
      <c r="H13" s="21" t="s">
        <v>76</v>
      </c>
      <c r="I13" s="7" t="s">
        <v>53</v>
      </c>
      <c r="J13" s="123">
        <f>IF(F13='Lists '!A18,1.15,IF(F13='Lists '!A19,1,IF(F13='Lists '!A20,0.65)))</f>
        <v>1</v>
      </c>
      <c r="K13" s="8" t="s">
        <v>82</v>
      </c>
      <c r="L13" s="8"/>
    </row>
    <row r="14" spans="1:16" x14ac:dyDescent="0.3">
      <c r="A14" s="24"/>
      <c r="B14" s="24"/>
      <c r="C14" s="5" t="s">
        <v>62</v>
      </c>
      <c r="D14" s="5"/>
      <c r="E14" s="5"/>
      <c r="F14" s="7"/>
      <c r="G14" s="7"/>
      <c r="H14" s="7"/>
      <c r="I14" s="7"/>
      <c r="J14" s="7"/>
      <c r="K14" s="8"/>
      <c r="L14" s="8"/>
    </row>
    <row r="15" spans="1:16" ht="21.75" x14ac:dyDescent="0.45">
      <c r="A15" s="24"/>
      <c r="B15" s="24"/>
      <c r="C15" s="7"/>
      <c r="D15" s="7"/>
      <c r="E15" s="7" t="s">
        <v>63</v>
      </c>
      <c r="F15" s="31" t="s">
        <v>58</v>
      </c>
      <c r="G15" s="7"/>
      <c r="H15" s="21" t="s">
        <v>66</v>
      </c>
      <c r="I15" s="7" t="s">
        <v>53</v>
      </c>
      <c r="J15" s="31">
        <f>IF(OR(F15=Steel!A4,F15=Steel!A5),310,"Requires Additional Material")</f>
        <v>310</v>
      </c>
      <c r="K15" s="120" t="s">
        <v>176</v>
      </c>
      <c r="L15" s="8"/>
    </row>
    <row r="16" spans="1:16" x14ac:dyDescent="0.3">
      <c r="A16" s="24"/>
      <c r="B16" s="24"/>
      <c r="C16" s="7"/>
      <c r="D16" s="7"/>
      <c r="E16" s="7" t="s">
        <v>64</v>
      </c>
      <c r="F16" s="32">
        <v>2</v>
      </c>
      <c r="G16" s="7"/>
      <c r="H16" s="7"/>
      <c r="I16" s="7"/>
      <c r="J16" s="35">
        <f>IF(F16=2,2,"Requires Additional Material")</f>
        <v>2</v>
      </c>
      <c r="K16" s="8" t="s">
        <v>119</v>
      </c>
      <c r="L16" s="8"/>
    </row>
    <row r="17" spans="1:12" ht="21.75" x14ac:dyDescent="0.45">
      <c r="A17" s="24"/>
      <c r="B17" s="24"/>
      <c r="C17" s="7"/>
      <c r="D17" s="7"/>
      <c r="E17" s="7" t="s">
        <v>164</v>
      </c>
      <c r="F17" s="33" t="s">
        <v>39</v>
      </c>
      <c r="G17" s="7"/>
      <c r="H17" s="21" t="s">
        <v>161</v>
      </c>
      <c r="I17" s="7" t="s">
        <v>53</v>
      </c>
      <c r="J17" s="125">
        <f>IF(F17="Dry",1,IF(F17="Wet",0.67,"Select Condition"))</f>
        <v>0.67</v>
      </c>
      <c r="K17" s="8" t="s">
        <v>162</v>
      </c>
      <c r="L17" s="8"/>
    </row>
    <row r="18" spans="1:12" x14ac:dyDescent="0.3">
      <c r="A18" s="24"/>
      <c r="B18" s="24"/>
      <c r="C18" s="5" t="s">
        <v>52</v>
      </c>
      <c r="D18" s="5"/>
      <c r="E18" s="5"/>
      <c r="F18" s="7"/>
      <c r="G18" s="7"/>
      <c r="H18" s="7"/>
      <c r="I18" s="7"/>
      <c r="J18" s="7"/>
      <c r="K18" s="8"/>
      <c r="L18" s="8"/>
    </row>
    <row r="19" spans="1:12" ht="21.75" x14ac:dyDescent="0.45">
      <c r="A19" s="24"/>
      <c r="B19" s="24"/>
      <c r="C19" s="7"/>
      <c r="D19" s="7"/>
      <c r="E19" s="8" t="s">
        <v>35</v>
      </c>
      <c r="F19" s="31" t="s">
        <v>3</v>
      </c>
      <c r="G19" s="7"/>
      <c r="H19" s="21" t="s">
        <v>67</v>
      </c>
      <c r="I19" s="7" t="s">
        <v>53</v>
      </c>
      <c r="J19" s="31">
        <f>IF(F19='Glulam Material'!C4,HLOOKUP(F20,'Glulam Material'!C5:H16,9,FALSE),IF(F19='Glulam Material'!I4,HLOOKUP(F20,'Glulam Material'!I5:L16,9,FALSE),IF(F19='Glulam Material'!M4,HLOOKUP(F20,'Glulam Material'!M5:N16,9,FALSE),"NONE")))</f>
        <v>23</v>
      </c>
      <c r="K19" s="14" t="s">
        <v>54</v>
      </c>
      <c r="L19" s="8"/>
    </row>
    <row r="20" spans="1:12" ht="21.75" x14ac:dyDescent="0.45">
      <c r="A20" s="24"/>
      <c r="B20" s="24"/>
      <c r="C20" s="7"/>
      <c r="D20" s="7"/>
      <c r="E20" s="8" t="s">
        <v>36</v>
      </c>
      <c r="F20" s="34" t="s">
        <v>10</v>
      </c>
      <c r="G20" s="7"/>
      <c r="H20" s="21" t="s">
        <v>68</v>
      </c>
      <c r="I20" s="7" t="s">
        <v>53</v>
      </c>
      <c r="J20" s="34">
        <f>IF(F19='Glulam Material'!C4,HLOOKUP(F20,'Glulam Material'!C5:H16,10,FALSE),IF(F19='Glulam Material'!I4,HLOOKUP(F20,'Glulam Material'!I5:L16,10,FALSE),IF(F19='Glulam Material'!M4,HLOOKUP(F20,'Glulam Material'!M5:N16,10,FALSE),"NONE")))</f>
        <v>17.899999999999999</v>
      </c>
      <c r="K20" s="14" t="s">
        <v>54</v>
      </c>
      <c r="L20" s="8"/>
    </row>
    <row r="21" spans="1:12" ht="21.75" x14ac:dyDescent="0.45">
      <c r="A21" s="24"/>
      <c r="B21" s="24"/>
      <c r="C21" s="7"/>
      <c r="D21" s="7"/>
      <c r="E21" s="8" t="s">
        <v>47</v>
      </c>
      <c r="F21" s="34" t="s">
        <v>41</v>
      </c>
      <c r="G21" s="7"/>
      <c r="H21" s="21" t="s">
        <v>69</v>
      </c>
      <c r="I21" s="7" t="s">
        <v>53</v>
      </c>
      <c r="J21" s="35">
        <f>IF(F21='Lists '!A9,1,1)</f>
        <v>1</v>
      </c>
      <c r="K21" s="14" t="s">
        <v>55</v>
      </c>
      <c r="L21" s="8"/>
    </row>
    <row r="22" spans="1:12" ht="21.75" x14ac:dyDescent="0.45">
      <c r="A22" s="24"/>
      <c r="B22" s="24"/>
      <c r="C22" s="7"/>
      <c r="D22" s="7"/>
      <c r="E22" s="8" t="s">
        <v>48</v>
      </c>
      <c r="F22" s="34" t="s">
        <v>38</v>
      </c>
      <c r="G22" s="7"/>
      <c r="H22" s="21" t="s">
        <v>70</v>
      </c>
      <c r="I22" s="7" t="s">
        <v>53</v>
      </c>
      <c r="J22" s="130">
        <f>IF(F22='Lists '!A5, 1, 0.75)</f>
        <v>1</v>
      </c>
      <c r="K22" s="14" t="s">
        <v>56</v>
      </c>
      <c r="L22" s="8"/>
    </row>
    <row r="23" spans="1:12" ht="21.75" x14ac:dyDescent="0.45">
      <c r="A23" s="24"/>
      <c r="B23" s="24"/>
      <c r="C23" s="7"/>
      <c r="D23" s="7"/>
      <c r="E23" s="8" t="s">
        <v>49</v>
      </c>
      <c r="F23" s="33" t="s">
        <v>44</v>
      </c>
      <c r="G23" s="7"/>
      <c r="H23" s="21" t="s">
        <v>71</v>
      </c>
      <c r="I23" s="7" t="s">
        <v>53</v>
      </c>
      <c r="J23" s="35">
        <f>IF(F23='Lists '!A13,1, IF(F23='Lists '!A14, 1, "Requires Additional Test Results"))</f>
        <v>1</v>
      </c>
      <c r="K23" s="14" t="s">
        <v>57</v>
      </c>
      <c r="L23" s="8"/>
    </row>
    <row r="24" spans="1:12" ht="21.75" x14ac:dyDescent="0.45">
      <c r="A24" s="24"/>
      <c r="B24" s="24"/>
      <c r="C24" s="7"/>
      <c r="D24" s="7"/>
      <c r="E24" s="7"/>
      <c r="F24" s="7"/>
      <c r="G24" s="7"/>
      <c r="H24" s="21" t="s">
        <v>145</v>
      </c>
      <c r="I24" s="7" t="s">
        <v>53</v>
      </c>
      <c r="J24" s="35">
        <f>IF(F19='Glulam Material'!C4,HLOOKUP(F20,'Glulam Material'!C5:H16,4,FALSE),IF(F19='Glulam Material'!I4,HLOOKUP(F20,'Glulam Material'!I5:L16,4,FALSE),IF(F19='Glulam Material'!M4,HLOOKUP(F20,'Glulam Material'!M5:N16,4,FALSE),"NONE")))</f>
        <v>2</v>
      </c>
      <c r="K24" s="14" t="s">
        <v>146</v>
      </c>
      <c r="L24" s="8"/>
    </row>
    <row r="25" spans="1:12" ht="21.75" x14ac:dyDescent="0.45">
      <c r="A25" s="24"/>
      <c r="B25" s="24"/>
      <c r="C25" s="7"/>
      <c r="D25" s="7"/>
      <c r="E25" s="7"/>
      <c r="F25" s="7"/>
      <c r="G25" s="7"/>
      <c r="H25" s="21" t="s">
        <v>170</v>
      </c>
      <c r="I25" s="7"/>
      <c r="J25" s="36">
        <f>IF(F19='Glulam Material'!C4,HLOOKUP(F20,'Glulam Material'!C5:H16,5,FALSE),IF(F19='Glulam Material'!I4,HLOOKUP(F20,'Glulam Material'!I5:L16,5,FALSE),IF(F19='Glulam Material'!M4,HLOOKUP(F20,'Glulam Material'!M5:N16,5,FALSE),"NONE")))</f>
        <v>30.2</v>
      </c>
      <c r="K25" s="16"/>
      <c r="L25" s="11"/>
    </row>
    <row r="26" spans="1:12" x14ac:dyDescent="0.3">
      <c r="A26" s="24"/>
      <c r="B26" s="63"/>
      <c r="C26" s="7"/>
      <c r="D26" s="7"/>
      <c r="E26" s="7"/>
      <c r="F26" s="7"/>
      <c r="G26" s="7"/>
      <c r="H26" s="7"/>
      <c r="I26" s="7"/>
      <c r="J26" s="7"/>
      <c r="K26" s="7"/>
      <c r="L26" s="11"/>
    </row>
    <row r="27" spans="1:12" x14ac:dyDescent="0.3">
      <c r="A27" s="24"/>
      <c r="B27" s="26" t="s">
        <v>51</v>
      </c>
      <c r="C27" s="37"/>
      <c r="D27" s="37"/>
      <c r="E27" s="29"/>
      <c r="F27" s="5"/>
      <c r="G27" s="5"/>
      <c r="H27" s="5"/>
      <c r="I27" s="5"/>
      <c r="J27" s="5"/>
      <c r="K27" s="5"/>
      <c r="L27" s="11"/>
    </row>
    <row r="28" spans="1:12" x14ac:dyDescent="0.3">
      <c r="A28" s="24"/>
      <c r="B28" s="23" t="s">
        <v>153</v>
      </c>
      <c r="C28" s="6"/>
      <c r="D28" s="6"/>
      <c r="E28" s="7"/>
      <c r="F28" s="7"/>
      <c r="G28" s="7"/>
      <c r="H28" s="7"/>
      <c r="I28" s="7"/>
      <c r="J28" s="7"/>
      <c r="K28" s="7"/>
      <c r="L28" s="11"/>
    </row>
    <row r="29" spans="1:12" x14ac:dyDescent="0.3">
      <c r="A29" s="24"/>
      <c r="B29" s="24"/>
      <c r="C29" s="5" t="s">
        <v>50</v>
      </c>
      <c r="D29" s="5"/>
      <c r="E29" s="5"/>
      <c r="F29" s="7"/>
      <c r="G29" s="7"/>
      <c r="H29" s="7"/>
      <c r="I29" s="86"/>
      <c r="J29" s="7"/>
      <c r="K29" s="7"/>
      <c r="L29" s="11"/>
    </row>
    <row r="30" spans="1:12" ht="21.75" x14ac:dyDescent="0.45">
      <c r="A30" s="24"/>
      <c r="B30" s="24"/>
      <c r="C30" s="7"/>
      <c r="D30" s="7"/>
      <c r="E30" s="21" t="s">
        <v>90</v>
      </c>
      <c r="F30" s="31">
        <v>100</v>
      </c>
      <c r="G30" s="43" t="s">
        <v>86</v>
      </c>
      <c r="H30" s="7"/>
      <c r="J30" s="124" t="str">
        <f>IF(F30&lt;90, "Thickness of Steel Plate must be &gt; = 90", "OK")</f>
        <v>OK</v>
      </c>
      <c r="K30" s="14" t="s">
        <v>179</v>
      </c>
      <c r="L30" s="11"/>
    </row>
    <row r="31" spans="1:12" ht="21.75" x14ac:dyDescent="0.45">
      <c r="A31" s="24"/>
      <c r="B31" s="24"/>
      <c r="C31" s="7"/>
      <c r="D31" s="7"/>
      <c r="E31" s="21" t="s">
        <v>73</v>
      </c>
      <c r="F31" s="34">
        <v>800</v>
      </c>
      <c r="G31" s="43" t="s">
        <v>86</v>
      </c>
      <c r="H31" s="7"/>
      <c r="I31" s="86"/>
      <c r="J31" s="7"/>
      <c r="K31" s="7"/>
      <c r="L31" s="11"/>
    </row>
    <row r="32" spans="1:12" ht="21.75" x14ac:dyDescent="0.45">
      <c r="A32" s="24"/>
      <c r="B32" s="24"/>
      <c r="C32" s="7"/>
      <c r="D32" s="7"/>
      <c r="E32" s="21" t="s">
        <v>89</v>
      </c>
      <c r="F32" s="34">
        <v>15</v>
      </c>
      <c r="G32" s="7"/>
      <c r="H32" s="7"/>
      <c r="I32" s="7"/>
      <c r="J32" s="22"/>
      <c r="K32" s="8"/>
      <c r="L32" s="8"/>
    </row>
    <row r="33" spans="1:12" ht="21.75" x14ac:dyDescent="0.45">
      <c r="A33" s="24"/>
      <c r="B33" s="24"/>
      <c r="C33" s="7"/>
      <c r="D33" s="7"/>
      <c r="E33" s="21" t="s">
        <v>88</v>
      </c>
      <c r="F33" s="34">
        <v>3</v>
      </c>
      <c r="G33" s="7"/>
      <c r="H33" s="7"/>
      <c r="I33" s="86"/>
      <c r="J33" s="22" t="str">
        <f>IF(OR(F33&lt;1,F33=1), "Number of Rows Must Be &gt; 1 to Analyze Failure!", "OK")</f>
        <v>OK</v>
      </c>
      <c r="K33" s="8"/>
      <c r="L33" s="8"/>
    </row>
    <row r="34" spans="1:12" ht="21.75" x14ac:dyDescent="0.45">
      <c r="A34" s="24"/>
      <c r="B34" s="24"/>
      <c r="C34" s="7"/>
      <c r="D34" s="7"/>
      <c r="E34" s="87" t="s">
        <v>74</v>
      </c>
      <c r="F34" s="33">
        <v>25</v>
      </c>
      <c r="G34" s="43" t="s">
        <v>86</v>
      </c>
      <c r="H34" s="7"/>
      <c r="I34" s="7"/>
      <c r="K34" s="8"/>
      <c r="L34" s="8"/>
    </row>
    <row r="35" spans="1:12" ht="21.75" x14ac:dyDescent="0.45">
      <c r="A35" s="24"/>
      <c r="B35" s="24"/>
      <c r="C35" s="7"/>
      <c r="D35" s="7"/>
      <c r="E35" s="87"/>
      <c r="F35" s="7"/>
      <c r="G35" s="43"/>
      <c r="H35" s="88" t="s">
        <v>143</v>
      </c>
      <c r="I35" s="7" t="s">
        <v>53</v>
      </c>
      <c r="J35" s="22">
        <f>IF(J30="OK", F32/F33, "ERROR")</f>
        <v>5</v>
      </c>
      <c r="K35" s="8"/>
      <c r="L35" s="8"/>
    </row>
    <row r="36" spans="1:12" ht="21.75" x14ac:dyDescent="0.45">
      <c r="A36" s="24"/>
      <c r="B36" s="24"/>
      <c r="C36" s="7"/>
      <c r="D36" s="7"/>
      <c r="E36" s="87"/>
      <c r="F36" s="7"/>
      <c r="G36" s="43"/>
      <c r="H36" s="7"/>
      <c r="I36" s="7"/>
      <c r="J36" s="22" t="str">
        <f>IF(F33=1, "ERROR",IF('Glulam Material'!A35=J35,"OK","Can only Input Equal number of Bolts Per Row!"))</f>
        <v>OK</v>
      </c>
      <c r="K36" s="8"/>
      <c r="L36" s="8"/>
    </row>
    <row r="37" spans="1:12" ht="21.75" x14ac:dyDescent="0.45">
      <c r="A37" s="24"/>
      <c r="B37" s="24"/>
      <c r="C37" s="7"/>
      <c r="D37" s="7"/>
      <c r="E37" s="87"/>
      <c r="F37" s="7"/>
      <c r="G37" s="43"/>
      <c r="H37" s="7"/>
      <c r="I37" s="7"/>
      <c r="J37" s="86"/>
      <c r="K37" s="8"/>
      <c r="L37" s="8"/>
    </row>
    <row r="38" spans="1:12" ht="21.75" x14ac:dyDescent="0.45">
      <c r="A38" s="24"/>
      <c r="B38" s="24"/>
      <c r="C38" s="7"/>
      <c r="D38" s="7"/>
      <c r="E38" s="87"/>
      <c r="F38" s="7"/>
      <c r="G38" s="43"/>
      <c r="H38" s="7"/>
      <c r="I38" s="7"/>
      <c r="J38" s="7"/>
      <c r="K38" s="8"/>
      <c r="L38" s="8"/>
    </row>
    <row r="39" spans="1:12" ht="21.75" x14ac:dyDescent="0.45">
      <c r="A39" s="24"/>
      <c r="B39" s="24"/>
      <c r="C39" s="7"/>
      <c r="D39" s="7"/>
      <c r="E39" s="21"/>
      <c r="F39" s="7"/>
      <c r="G39" s="7"/>
      <c r="H39" s="89"/>
      <c r="I39" s="90" t="s">
        <v>84</v>
      </c>
      <c r="J39" s="31">
        <f>F41*F42</f>
        <v>240000</v>
      </c>
      <c r="K39" s="25" t="s">
        <v>87</v>
      </c>
      <c r="L39" s="8"/>
    </row>
    <row r="40" spans="1:12" ht="20.25" x14ac:dyDescent="0.4">
      <c r="A40" s="24"/>
      <c r="B40" s="24"/>
      <c r="C40" s="5" t="s">
        <v>52</v>
      </c>
      <c r="D40" s="5"/>
      <c r="E40" s="5"/>
      <c r="F40" s="7"/>
      <c r="G40" s="7"/>
      <c r="H40" s="89"/>
      <c r="I40" s="90" t="s">
        <v>83</v>
      </c>
      <c r="J40" s="34">
        <f>F34+2</f>
        <v>27</v>
      </c>
      <c r="K40" s="25" t="s">
        <v>86</v>
      </c>
      <c r="L40" s="8"/>
    </row>
    <row r="41" spans="1:12" ht="21.75" x14ac:dyDescent="0.45">
      <c r="A41" s="24"/>
      <c r="B41" s="24"/>
      <c r="C41" s="7"/>
      <c r="D41" s="7"/>
      <c r="E41" s="21" t="s">
        <v>72</v>
      </c>
      <c r="F41" s="31">
        <v>300</v>
      </c>
      <c r="G41" s="43" t="s">
        <v>86</v>
      </c>
      <c r="H41" s="89"/>
      <c r="I41" s="90" t="s">
        <v>85</v>
      </c>
      <c r="J41" s="34">
        <f>(F42-(F33*J40))*F41</f>
        <v>215700</v>
      </c>
      <c r="K41" s="25" t="s">
        <v>87</v>
      </c>
      <c r="L41" s="8"/>
    </row>
    <row r="42" spans="1:12" ht="21.75" x14ac:dyDescent="0.45">
      <c r="A42" s="24"/>
      <c r="B42" s="24"/>
      <c r="C42" s="7"/>
      <c r="D42" s="7"/>
      <c r="E42" s="21" t="s">
        <v>73</v>
      </c>
      <c r="F42" s="33">
        <v>800</v>
      </c>
      <c r="G42" s="43" t="s">
        <v>86</v>
      </c>
      <c r="H42" s="7"/>
      <c r="I42" s="91" t="s">
        <v>91</v>
      </c>
      <c r="J42" s="33">
        <f>J41/J39</f>
        <v>0.89875000000000005</v>
      </c>
      <c r="K42" s="8"/>
      <c r="L42" s="8"/>
    </row>
    <row r="43" spans="1:12" ht="21.75" x14ac:dyDescent="0.45">
      <c r="A43" s="24"/>
      <c r="B43" s="24"/>
      <c r="C43" s="7"/>
      <c r="D43" s="7"/>
      <c r="E43" s="7"/>
      <c r="F43" s="7"/>
      <c r="G43" s="7"/>
      <c r="H43" s="7"/>
      <c r="I43" s="7"/>
      <c r="J43" s="22" t="str">
        <f>IF(J42&lt;0.75,"Net Section must &gt;75% Ag!","OK")</f>
        <v>OK</v>
      </c>
      <c r="K43" s="121" t="s">
        <v>158</v>
      </c>
      <c r="L43" s="11"/>
    </row>
    <row r="44" spans="1:12" ht="21.75" x14ac:dyDescent="0.45">
      <c r="A44" s="24"/>
      <c r="B44" s="24"/>
      <c r="C44" s="7"/>
      <c r="D44" s="7"/>
      <c r="E44" s="21" t="s">
        <v>151</v>
      </c>
      <c r="F44" s="31">
        <v>200</v>
      </c>
      <c r="G44" s="43" t="s">
        <v>86</v>
      </c>
      <c r="H44" s="7"/>
      <c r="I44" s="7"/>
      <c r="J44" s="22" t="str">
        <f>IF(F44&lt;4*F34,"Spacing of Fastners in a Row Must be &gt;= Four Bolt Diameters","OK")</f>
        <v>OK</v>
      </c>
      <c r="K44" s="14" t="s">
        <v>150</v>
      </c>
      <c r="L44" s="11"/>
    </row>
    <row r="45" spans="1:12" ht="21.75" x14ac:dyDescent="0.45">
      <c r="A45" s="24"/>
      <c r="B45" s="24"/>
      <c r="C45" s="7"/>
      <c r="D45" s="7"/>
      <c r="E45" s="21" t="s">
        <v>152</v>
      </c>
      <c r="F45" s="34">
        <v>90</v>
      </c>
      <c r="G45" s="43" t="s">
        <v>86</v>
      </c>
      <c r="H45" s="7"/>
      <c r="I45" s="7"/>
      <c r="J45" s="22" t="str">
        <f>IF(F45&lt;3*F34,"Row Spacing must be &gt;= three bolt diameters","OK")</f>
        <v>OK</v>
      </c>
      <c r="K45" s="14" t="s">
        <v>150</v>
      </c>
      <c r="L45" s="11"/>
    </row>
    <row r="46" spans="1:12" ht="21.75" x14ac:dyDescent="0.45">
      <c r="A46" s="24"/>
      <c r="B46" s="24"/>
      <c r="C46" s="86"/>
      <c r="D46" s="7"/>
      <c r="E46" s="21" t="s">
        <v>154</v>
      </c>
      <c r="F46" s="38">
        <f>IF(OR(J44="Spacing of Fastners in a Row Must be &gt;= Four Bolt Diameters",J45="Row Spacing must be &gt;= three bolt diameters"),"ERROR",MAX(5*F34,50))</f>
        <v>125</v>
      </c>
      <c r="G46" s="43" t="s">
        <v>86</v>
      </c>
      <c r="H46" s="7"/>
      <c r="I46" s="7"/>
      <c r="J46" s="22" t="str">
        <f>IF(F46="ERROR", "ERROR", "OK")</f>
        <v>OK</v>
      </c>
      <c r="K46" s="14" t="s">
        <v>150</v>
      </c>
      <c r="L46" s="11"/>
    </row>
    <row r="47" spans="1:12" ht="21.75" x14ac:dyDescent="0.45">
      <c r="A47" s="24"/>
      <c r="B47" s="24"/>
      <c r="C47" s="86"/>
      <c r="D47" s="7"/>
      <c r="E47" s="21" t="s">
        <v>155</v>
      </c>
      <c r="F47" s="33">
        <f>MAX(1.5*F34,0.5*F45)</f>
        <v>45</v>
      </c>
      <c r="G47" s="43" t="s">
        <v>86</v>
      </c>
      <c r="H47" s="7"/>
      <c r="I47" s="7"/>
      <c r="J47" s="7"/>
      <c r="K47" s="122"/>
      <c r="L47" s="11"/>
    </row>
    <row r="48" spans="1:12" x14ac:dyDescent="0.3">
      <c r="A48" s="24"/>
      <c r="B48" s="24"/>
      <c r="C48" s="7"/>
      <c r="D48" s="7"/>
      <c r="E48" s="7"/>
      <c r="F48" s="7"/>
      <c r="G48" s="7"/>
      <c r="H48" s="7"/>
      <c r="I48" s="7"/>
      <c r="J48" s="22"/>
      <c r="K48" s="8"/>
      <c r="L48" s="11"/>
    </row>
    <row r="49" spans="1:12" x14ac:dyDescent="0.3">
      <c r="A49" s="24"/>
      <c r="B49" s="24"/>
      <c r="C49" s="7"/>
      <c r="D49" s="7"/>
      <c r="E49" s="7"/>
      <c r="F49" s="7"/>
      <c r="G49" s="7"/>
      <c r="H49" s="7"/>
      <c r="I49" s="7"/>
      <c r="J49" s="22"/>
      <c r="K49" s="8"/>
      <c r="L49" s="11"/>
    </row>
    <row r="50" spans="1:12" x14ac:dyDescent="0.3">
      <c r="A50" s="24"/>
      <c r="B50" s="24"/>
      <c r="C50" s="7"/>
      <c r="D50" s="7"/>
      <c r="E50" s="7"/>
      <c r="F50" s="7"/>
      <c r="G50" s="7"/>
      <c r="H50" s="7"/>
      <c r="I50" s="7"/>
      <c r="J50" s="22"/>
      <c r="K50" s="7"/>
      <c r="L50" s="11"/>
    </row>
    <row r="51" spans="1:12" x14ac:dyDescent="0.3">
      <c r="A51" s="24"/>
      <c r="B51" s="59" t="s">
        <v>99</v>
      </c>
      <c r="C51" s="60"/>
      <c r="D51" s="61"/>
      <c r="E51" s="62"/>
      <c r="F51" s="5"/>
      <c r="G51" s="5"/>
      <c r="H51" s="5"/>
      <c r="I51" s="5"/>
      <c r="J51" s="93"/>
      <c r="K51" s="5"/>
      <c r="L51" s="11"/>
    </row>
    <row r="52" spans="1:12" x14ac:dyDescent="0.3">
      <c r="A52" s="24"/>
      <c r="B52" s="24"/>
      <c r="C52" s="7"/>
      <c r="D52" s="7"/>
      <c r="E52" s="7"/>
      <c r="F52" s="7"/>
      <c r="G52" s="7"/>
      <c r="H52" s="7"/>
      <c r="I52" s="7"/>
      <c r="J52" s="7"/>
      <c r="K52" s="7"/>
      <c r="L52" s="11"/>
    </row>
    <row r="53" spans="1:12" x14ac:dyDescent="0.3">
      <c r="A53" s="24"/>
      <c r="B53" s="24"/>
      <c r="C53" s="5" t="s">
        <v>92</v>
      </c>
      <c r="D53" s="5"/>
      <c r="E53" s="5"/>
      <c r="F53" s="7"/>
      <c r="G53" s="7"/>
      <c r="H53" s="7"/>
      <c r="I53" s="7"/>
      <c r="J53" s="7"/>
      <c r="K53" s="7"/>
      <c r="L53" s="11"/>
    </row>
    <row r="54" spans="1:12" x14ac:dyDescent="0.3">
      <c r="A54" s="24"/>
      <c r="B54" s="24"/>
      <c r="C54" s="7"/>
      <c r="D54" s="7"/>
      <c r="E54" s="7" t="s">
        <v>110</v>
      </c>
      <c r="F54" s="49">
        <v>0.8</v>
      </c>
      <c r="G54" s="7"/>
      <c r="H54" s="7" t="s">
        <v>113</v>
      </c>
      <c r="I54" s="7"/>
      <c r="J54" s="86"/>
      <c r="K54" s="7"/>
      <c r="L54" s="11"/>
    </row>
    <row r="55" spans="1:12" x14ac:dyDescent="0.3">
      <c r="A55" s="24"/>
      <c r="B55" s="24"/>
      <c r="C55" s="7"/>
      <c r="D55" s="7"/>
      <c r="E55" s="7" t="s">
        <v>115</v>
      </c>
      <c r="F55" s="50">
        <v>0.67</v>
      </c>
      <c r="G55" s="7"/>
      <c r="H55" s="7" t="s">
        <v>117</v>
      </c>
      <c r="I55" s="7"/>
      <c r="J55" s="7"/>
      <c r="K55" s="8"/>
      <c r="L55" s="8"/>
    </row>
    <row r="56" spans="1:12" ht="21.75" x14ac:dyDescent="0.45">
      <c r="A56" s="24"/>
      <c r="B56" s="24"/>
      <c r="C56" s="7"/>
      <c r="D56" s="7"/>
      <c r="E56" s="7" t="s">
        <v>118</v>
      </c>
      <c r="F56" s="51">
        <v>400</v>
      </c>
      <c r="G56" s="16" t="s">
        <v>108</v>
      </c>
      <c r="H56" s="7" t="s">
        <v>75</v>
      </c>
      <c r="I56" s="7"/>
      <c r="J56" s="7"/>
      <c r="K56" s="8"/>
      <c r="L56" s="8"/>
    </row>
    <row r="57" spans="1:12" x14ac:dyDescent="0.3">
      <c r="A57" s="24"/>
      <c r="B57" s="24"/>
      <c r="C57" s="7"/>
      <c r="D57" s="7"/>
      <c r="E57" s="7" t="s">
        <v>111</v>
      </c>
      <c r="F57" s="52">
        <v>1</v>
      </c>
      <c r="G57" s="7"/>
      <c r="H57" s="7" t="s">
        <v>113</v>
      </c>
      <c r="I57" s="7"/>
      <c r="J57" s="7"/>
      <c r="K57" s="8"/>
      <c r="L57" s="8"/>
    </row>
    <row r="58" spans="1:12" ht="21.75" x14ac:dyDescent="0.45">
      <c r="A58" s="24"/>
      <c r="B58" s="24"/>
      <c r="C58" s="7"/>
      <c r="D58" s="7"/>
      <c r="E58" s="7" t="s">
        <v>33</v>
      </c>
      <c r="F58" s="51">
        <f>IF(F19='Glulam Material'!C4,HLOOKUP(F20,'Glulam Material'!C5:H16,12,FALSE),IF(F19='Glulam Material'!I4,HLOOKUP(F20,'Glulam Material'!I5:L16,12,FALSE),IF(F19='Glulam Material'!M4,HLOOKUP(F20,'Glulam Material'!M5:N16,12,FALSE),"NONE")))</f>
        <v>13800</v>
      </c>
      <c r="G58" s="16" t="s">
        <v>108</v>
      </c>
      <c r="H58" s="7" t="s">
        <v>123</v>
      </c>
      <c r="I58" s="7"/>
      <c r="J58" s="7"/>
      <c r="K58" s="8"/>
      <c r="L58" s="8"/>
    </row>
    <row r="59" spans="1:12" x14ac:dyDescent="0.3">
      <c r="A59" s="24"/>
      <c r="B59" s="24"/>
      <c r="C59" s="7"/>
      <c r="D59" s="7"/>
      <c r="E59" s="7" t="s">
        <v>121</v>
      </c>
      <c r="F59" s="50">
        <f>IF(F19='Glulam Material'!A20,0.49,IF(F19='Glulam Material'!A21,0.44,IF(F19='Glulam Material'!A22,0.46,"NONE")))</f>
        <v>0.49</v>
      </c>
      <c r="G59" s="7"/>
      <c r="H59" s="7" t="s">
        <v>122</v>
      </c>
      <c r="I59" s="7"/>
      <c r="J59" s="7"/>
      <c r="K59" s="8"/>
      <c r="L59" s="8"/>
    </row>
    <row r="60" spans="1:12" x14ac:dyDescent="0.3">
      <c r="A60" s="24"/>
      <c r="B60" s="24"/>
      <c r="C60" s="7"/>
      <c r="D60" s="7"/>
      <c r="E60" s="7" t="s">
        <v>124</v>
      </c>
      <c r="F60" s="53">
        <f>IF(J36="OK",F32,"ERROR")</f>
        <v>15</v>
      </c>
      <c r="G60" s="7"/>
      <c r="H60" s="7" t="s">
        <v>113</v>
      </c>
      <c r="I60" s="7"/>
      <c r="J60" s="7"/>
      <c r="K60" s="8"/>
      <c r="L60" s="8"/>
    </row>
    <row r="61" spans="1:12" ht="21.75" x14ac:dyDescent="0.45">
      <c r="A61" s="24"/>
      <c r="B61" s="24"/>
      <c r="C61" s="7"/>
      <c r="D61" s="7"/>
      <c r="E61" s="7" t="s">
        <v>114</v>
      </c>
      <c r="F61" s="52">
        <f>3*F56*(F55/F54)</f>
        <v>1005</v>
      </c>
      <c r="G61" s="16" t="s">
        <v>108</v>
      </c>
      <c r="H61" s="47" t="s">
        <v>117</v>
      </c>
      <c r="I61" s="7"/>
      <c r="J61" s="7"/>
      <c r="K61" s="8"/>
      <c r="L61" s="8"/>
    </row>
    <row r="62" spans="1:12" ht="21.75" x14ac:dyDescent="0.45">
      <c r="A62" s="24"/>
      <c r="B62" s="24"/>
      <c r="C62" s="7"/>
      <c r="D62" s="7"/>
      <c r="E62" s="7" t="s">
        <v>120</v>
      </c>
      <c r="F62" s="52">
        <f>50*F59*(1-(0.01*F34))</f>
        <v>18.375</v>
      </c>
      <c r="G62" s="16" t="s">
        <v>108</v>
      </c>
      <c r="H62" s="47" t="s">
        <v>117</v>
      </c>
      <c r="I62" s="7"/>
      <c r="J62" s="7"/>
      <c r="K62" s="8"/>
      <c r="L62" s="8"/>
    </row>
    <row r="63" spans="1:12" ht="20.25" x14ac:dyDescent="0.4">
      <c r="A63" s="24"/>
      <c r="B63" s="24"/>
      <c r="C63" s="7"/>
      <c r="D63" s="7"/>
      <c r="E63" s="7" t="s">
        <v>125</v>
      </c>
      <c r="F63" s="52">
        <f>F30</f>
        <v>100</v>
      </c>
      <c r="G63" s="48" t="s">
        <v>86</v>
      </c>
      <c r="H63" s="7"/>
      <c r="I63" s="7"/>
      <c r="J63" s="7"/>
      <c r="K63" s="8"/>
      <c r="L63" s="8"/>
    </row>
    <row r="64" spans="1:12" ht="20.25" x14ac:dyDescent="0.4">
      <c r="A64" s="24"/>
      <c r="B64" s="24"/>
      <c r="C64" s="7"/>
      <c r="D64" s="7"/>
      <c r="E64" s="7" t="s">
        <v>126</v>
      </c>
      <c r="F64" s="52">
        <f>F41</f>
        <v>300</v>
      </c>
      <c r="G64" s="48" t="s">
        <v>86</v>
      </c>
      <c r="H64" s="7"/>
      <c r="I64" s="7"/>
      <c r="J64" s="7"/>
      <c r="K64" s="8"/>
      <c r="L64" s="8"/>
    </row>
    <row r="65" spans="1:12" ht="21.75" x14ac:dyDescent="0.45">
      <c r="A65" s="24"/>
      <c r="B65" s="24"/>
      <c r="C65" s="7"/>
      <c r="D65" s="6" t="s">
        <v>127</v>
      </c>
      <c r="E65" s="7" t="s">
        <v>128</v>
      </c>
      <c r="F65" s="50">
        <f>(F61*F34*F63)/1000</f>
        <v>2512.5</v>
      </c>
      <c r="G65" s="16" t="s">
        <v>109</v>
      </c>
      <c r="H65" s="47" t="s">
        <v>116</v>
      </c>
      <c r="I65" s="7"/>
      <c r="J65" s="7"/>
      <c r="K65" s="8"/>
      <c r="L65" s="8"/>
    </row>
    <row r="66" spans="1:12" ht="21.75" x14ac:dyDescent="0.45">
      <c r="A66" s="24"/>
      <c r="B66" s="24"/>
      <c r="C66" s="7"/>
      <c r="D66" s="7"/>
      <c r="E66" s="7" t="s">
        <v>129</v>
      </c>
      <c r="F66" s="50">
        <f>(F62*F34*F64)/1000</f>
        <v>137.8125</v>
      </c>
      <c r="G66" s="16" t="s">
        <v>109</v>
      </c>
      <c r="H66" s="47" t="s">
        <v>132</v>
      </c>
      <c r="I66" s="7"/>
      <c r="J66" s="7"/>
      <c r="K66" s="8"/>
      <c r="L66" s="8"/>
    </row>
    <row r="67" spans="1:12" ht="21.75" x14ac:dyDescent="0.45">
      <c r="A67" s="24"/>
      <c r="B67" s="24"/>
      <c r="C67" s="7"/>
      <c r="D67" s="7"/>
      <c r="E67" s="7" t="s">
        <v>130</v>
      </c>
      <c r="F67" s="50">
        <f>(1005*F34^2*(SQRT((1/6)*(F62/(F61+F62))*J15/F61)+(1/5*(F63/F34))))/1000</f>
        <v>521.58378618737675</v>
      </c>
      <c r="G67" s="16" t="s">
        <v>109</v>
      </c>
      <c r="H67" s="47" t="s">
        <v>133</v>
      </c>
      <c r="I67" s="7"/>
      <c r="J67" s="7"/>
      <c r="K67" s="8"/>
      <c r="L67" s="8"/>
    </row>
    <row r="68" spans="1:12" ht="21.75" x14ac:dyDescent="0.45">
      <c r="A68" s="24"/>
      <c r="B68" s="24"/>
      <c r="C68" s="7"/>
      <c r="D68" s="7"/>
      <c r="E68" s="7" t="s">
        <v>131</v>
      </c>
      <c r="F68" s="50">
        <f>(1005*F34^2*(SQRT((1/6)*(F62/(F61+F62))*J15/F61)+(1/5*(F64/F34))))/1000</f>
        <v>1526.5837861873767</v>
      </c>
      <c r="G68" s="16" t="s">
        <v>109</v>
      </c>
      <c r="H68" s="47" t="s">
        <v>134</v>
      </c>
      <c r="I68" s="7"/>
      <c r="J68" s="7"/>
      <c r="K68" s="8"/>
      <c r="L68" s="8"/>
    </row>
    <row r="69" spans="1:12" ht="21.75" x14ac:dyDescent="0.45">
      <c r="A69" s="24"/>
      <c r="B69" s="24"/>
      <c r="C69" s="7"/>
      <c r="D69" s="7"/>
      <c r="E69" s="7" t="s">
        <v>137</v>
      </c>
      <c r="F69" s="50">
        <f>(F61*(F34^2)*(1/5))*((F63/F34)+((F62/F61)*(F64/F34)))/1000</f>
        <v>530.0625</v>
      </c>
      <c r="G69" s="16" t="s">
        <v>109</v>
      </c>
      <c r="H69" s="47" t="s">
        <v>135</v>
      </c>
      <c r="I69" s="7"/>
      <c r="J69" s="7"/>
      <c r="K69" s="8"/>
      <c r="L69" s="8"/>
    </row>
    <row r="70" spans="1:12" ht="21.75" x14ac:dyDescent="0.45">
      <c r="A70" s="24"/>
      <c r="B70" s="24"/>
      <c r="C70" s="7"/>
      <c r="D70" s="7"/>
      <c r="E70" s="7" t="s">
        <v>138</v>
      </c>
      <c r="F70" s="54">
        <f>(F61*F34^2)*(SQRT((2/3)*(F62/(F61+F62))*(J15/F61)))/1000</f>
        <v>38.167572374753469</v>
      </c>
      <c r="G70" s="16" t="s">
        <v>109</v>
      </c>
      <c r="H70" s="47" t="s">
        <v>136</v>
      </c>
      <c r="I70" s="7"/>
      <c r="J70" s="7"/>
      <c r="K70" s="8"/>
      <c r="L70" s="8"/>
    </row>
    <row r="71" spans="1:12" ht="21.75" x14ac:dyDescent="0.45">
      <c r="A71" s="24"/>
      <c r="B71" s="24"/>
      <c r="C71" s="7"/>
      <c r="D71" s="7"/>
      <c r="E71" s="6"/>
      <c r="F71" s="15"/>
      <c r="G71" s="16"/>
      <c r="H71" s="47"/>
      <c r="I71" s="7"/>
      <c r="J71" s="7"/>
      <c r="K71" s="8"/>
      <c r="L71" s="8"/>
    </row>
    <row r="72" spans="1:12" ht="21.75" x14ac:dyDescent="0.45">
      <c r="A72" s="24"/>
      <c r="B72" s="24"/>
      <c r="C72" s="7"/>
      <c r="D72" s="7"/>
      <c r="E72" s="22" t="s">
        <v>139</v>
      </c>
      <c r="F72" s="20">
        <f>MIN(F65:F70)</f>
        <v>38.167572374753469</v>
      </c>
      <c r="G72" s="16" t="s">
        <v>109</v>
      </c>
      <c r="H72" s="47"/>
      <c r="I72" s="7"/>
      <c r="J72" s="7"/>
      <c r="K72" s="8"/>
      <c r="L72" s="8"/>
    </row>
    <row r="73" spans="1:12" ht="21.75" x14ac:dyDescent="0.45">
      <c r="A73" s="24"/>
      <c r="B73" s="24"/>
      <c r="C73" s="7"/>
      <c r="D73" s="7"/>
      <c r="E73" s="22"/>
      <c r="F73" s="15"/>
      <c r="G73" s="16"/>
      <c r="H73" s="47"/>
      <c r="I73" s="7"/>
      <c r="J73" s="7"/>
      <c r="K73" s="8"/>
      <c r="L73" s="8"/>
    </row>
    <row r="74" spans="1:12" ht="21.75" x14ac:dyDescent="0.45">
      <c r="A74" s="24"/>
      <c r="B74" s="24"/>
      <c r="C74" s="7"/>
      <c r="D74" s="7"/>
      <c r="E74" s="21" t="s">
        <v>140</v>
      </c>
      <c r="F74" s="82">
        <f>IF(J36="OK",F54*F72*F57*F60,"ERROR")</f>
        <v>458.01086849704166</v>
      </c>
      <c r="G74" s="16" t="s">
        <v>109</v>
      </c>
      <c r="H74" s="47"/>
      <c r="I74" s="7"/>
      <c r="J74" s="7"/>
      <c r="K74" s="8"/>
      <c r="L74" s="8"/>
    </row>
    <row r="75" spans="1:12" ht="21.75" x14ac:dyDescent="0.45">
      <c r="A75" s="24"/>
      <c r="B75" s="24"/>
      <c r="C75" s="7"/>
      <c r="D75" s="7"/>
      <c r="E75" s="17"/>
      <c r="F75" s="20"/>
      <c r="G75" s="16"/>
      <c r="H75" s="47"/>
      <c r="I75" s="7"/>
      <c r="J75" s="7"/>
      <c r="K75" s="8"/>
      <c r="L75" s="8"/>
    </row>
    <row r="76" spans="1:12" x14ac:dyDescent="0.3">
      <c r="A76" s="24"/>
      <c r="B76" s="24"/>
      <c r="C76" s="5" t="s">
        <v>93</v>
      </c>
      <c r="D76" s="5"/>
      <c r="E76" s="5"/>
      <c r="F76" s="7"/>
      <c r="G76" s="7"/>
      <c r="H76" s="7"/>
      <c r="I76" s="7"/>
      <c r="J76" s="7"/>
      <c r="K76" s="8"/>
      <c r="L76" s="8"/>
    </row>
    <row r="77" spans="1:12" x14ac:dyDescent="0.3">
      <c r="A77" s="24"/>
      <c r="B77" s="24"/>
      <c r="C77" s="7"/>
      <c r="D77" s="7"/>
      <c r="E77" s="7"/>
      <c r="F77" s="7"/>
      <c r="G77" s="7"/>
      <c r="H77" s="7"/>
      <c r="I77" s="7"/>
      <c r="J77" s="7"/>
      <c r="K77" s="8"/>
      <c r="L77" s="8"/>
    </row>
    <row r="78" spans="1:12" x14ac:dyDescent="0.3">
      <c r="A78" s="24"/>
      <c r="B78" s="24"/>
      <c r="C78" s="7"/>
      <c r="D78" s="5" t="s">
        <v>100</v>
      </c>
      <c r="E78" s="5"/>
      <c r="F78" s="7"/>
      <c r="G78" s="7"/>
      <c r="H78" s="7"/>
      <c r="I78" s="7"/>
      <c r="J78" s="86"/>
      <c r="K78" s="8"/>
      <c r="L78" s="8"/>
    </row>
    <row r="79" spans="1:12" x14ac:dyDescent="0.3">
      <c r="A79" s="24"/>
      <c r="B79" s="24"/>
      <c r="C79" s="7"/>
      <c r="D79" s="7"/>
      <c r="E79" s="22" t="s">
        <v>144</v>
      </c>
      <c r="F79" s="55">
        <v>0.7</v>
      </c>
      <c r="G79" s="7"/>
      <c r="H79" s="47" t="s">
        <v>146</v>
      </c>
      <c r="I79" s="7"/>
      <c r="J79" s="86"/>
      <c r="K79" s="8"/>
      <c r="L79" s="8"/>
    </row>
    <row r="80" spans="1:12" x14ac:dyDescent="0.3">
      <c r="A80" s="24"/>
      <c r="B80" s="24"/>
      <c r="C80" s="7"/>
      <c r="D80" s="7"/>
      <c r="E80" s="22" t="s">
        <v>147</v>
      </c>
      <c r="F80" s="56">
        <v>0.65</v>
      </c>
      <c r="G80" s="7"/>
      <c r="H80" s="47" t="s">
        <v>146</v>
      </c>
      <c r="I80" s="7"/>
      <c r="J80" s="86"/>
      <c r="K80" s="8"/>
      <c r="L80" s="8"/>
    </row>
    <row r="81" spans="1:12" ht="20.25" x14ac:dyDescent="0.4">
      <c r="A81" s="24"/>
      <c r="B81" s="24"/>
      <c r="C81" s="7"/>
      <c r="D81" s="7"/>
      <c r="E81" s="22" t="s">
        <v>148</v>
      </c>
      <c r="F81" s="56">
        <f>F41</f>
        <v>300</v>
      </c>
      <c r="G81" s="48" t="s">
        <v>86</v>
      </c>
      <c r="H81" s="47" t="s">
        <v>146</v>
      </c>
      <c r="I81" s="7"/>
      <c r="J81" s="86"/>
      <c r="K81" s="8"/>
      <c r="L81" s="8"/>
    </row>
    <row r="82" spans="1:12" x14ac:dyDescent="0.3">
      <c r="A82" s="24"/>
      <c r="B82" s="24"/>
      <c r="C82" s="7"/>
      <c r="D82" s="7"/>
      <c r="E82" s="22" t="s">
        <v>142</v>
      </c>
      <c r="F82" s="56">
        <f>IF(J36="OK",J35,"ERROR")</f>
        <v>5</v>
      </c>
      <c r="G82" s="7"/>
      <c r="H82" s="47" t="s">
        <v>146</v>
      </c>
      <c r="I82" s="7"/>
      <c r="J82" s="86"/>
      <c r="K82" s="8"/>
      <c r="L82" s="8"/>
    </row>
    <row r="83" spans="1:12" x14ac:dyDescent="0.3">
      <c r="A83" s="24"/>
      <c r="B83" s="24"/>
      <c r="C83" s="7"/>
      <c r="D83" s="7"/>
      <c r="E83" s="22" t="s">
        <v>171</v>
      </c>
      <c r="F83" s="56">
        <f>IF(J36="OK",F33,"ERROR")</f>
        <v>3</v>
      </c>
      <c r="G83" s="7"/>
      <c r="H83" s="47" t="s">
        <v>146</v>
      </c>
      <c r="I83" s="7"/>
      <c r="J83" s="86"/>
      <c r="K83" s="8"/>
      <c r="L83" s="8"/>
    </row>
    <row r="84" spans="1:12" ht="20.25" x14ac:dyDescent="0.4">
      <c r="A84" s="24"/>
      <c r="B84" s="24"/>
      <c r="C84" s="7"/>
      <c r="D84" s="7"/>
      <c r="E84" s="22" t="s">
        <v>149</v>
      </c>
      <c r="F84" s="56">
        <f>IF(OR(J44="Spacing of Fastners in a Row Must be &gt;= Four Bolt Diameters", J46="Row Spacing must be &gt;= three bolt diameters"),"ERROR",MIN(F46,F44))</f>
        <v>125</v>
      </c>
      <c r="G84" s="48" t="s">
        <v>86</v>
      </c>
      <c r="H84" s="47" t="s">
        <v>150</v>
      </c>
      <c r="I84" s="7"/>
      <c r="J84" s="7"/>
      <c r="K84" s="8"/>
      <c r="L84" s="8"/>
    </row>
    <row r="85" spans="1:12" ht="21.75" x14ac:dyDescent="0.45">
      <c r="A85" s="24"/>
      <c r="B85" s="24"/>
      <c r="C85" s="7"/>
      <c r="D85" s="7"/>
      <c r="E85" s="21" t="s">
        <v>156</v>
      </c>
      <c r="F85" s="57">
        <f>(1.2*J24*F80*F81*F82*F84)/1000</f>
        <v>292.5</v>
      </c>
      <c r="G85" s="16" t="s">
        <v>109</v>
      </c>
      <c r="H85" s="47" t="s">
        <v>146</v>
      </c>
      <c r="I85" s="7"/>
      <c r="J85" s="7"/>
      <c r="K85" s="8"/>
      <c r="L85" s="8"/>
    </row>
    <row r="86" spans="1:12" ht="21.75" x14ac:dyDescent="0.45">
      <c r="A86" s="24"/>
      <c r="B86" s="24"/>
      <c r="C86" s="7"/>
      <c r="D86" s="7"/>
      <c r="E86" s="21"/>
      <c r="F86" s="6"/>
      <c r="G86" s="16"/>
      <c r="H86" s="47"/>
      <c r="I86" s="7"/>
      <c r="J86" s="7"/>
      <c r="K86" s="8"/>
      <c r="L86" s="8"/>
    </row>
    <row r="87" spans="1:12" ht="21.75" x14ac:dyDescent="0.45">
      <c r="A87" s="24"/>
      <c r="B87" s="24"/>
      <c r="C87" s="7"/>
      <c r="D87" s="7"/>
      <c r="E87" s="21" t="s">
        <v>157</v>
      </c>
      <c r="F87" s="19">
        <f>F79*F85*F83*J13*J17*J23</f>
        <v>411.54750000000001</v>
      </c>
      <c r="G87" s="18" t="s">
        <v>109</v>
      </c>
      <c r="H87" s="47" t="s">
        <v>146</v>
      </c>
      <c r="I87" s="7"/>
      <c r="J87" s="7"/>
      <c r="K87" s="8"/>
      <c r="L87" s="8"/>
    </row>
    <row r="88" spans="1:12" x14ac:dyDescent="0.3">
      <c r="A88" s="24"/>
      <c r="B88" s="24"/>
      <c r="C88" s="7"/>
      <c r="D88" s="7"/>
      <c r="E88" s="7"/>
      <c r="F88" s="7"/>
      <c r="G88" s="7"/>
      <c r="H88" s="7"/>
      <c r="I88" s="7"/>
      <c r="J88" s="7"/>
      <c r="K88" s="8"/>
      <c r="L88" s="8"/>
    </row>
    <row r="89" spans="1:12" x14ac:dyDescent="0.3">
      <c r="A89" s="24"/>
      <c r="B89" s="24"/>
      <c r="C89" s="7"/>
      <c r="D89" s="5" t="s">
        <v>101</v>
      </c>
      <c r="E89" s="5"/>
      <c r="F89" s="7"/>
      <c r="G89" s="7"/>
      <c r="H89" s="7"/>
      <c r="I89" s="7"/>
      <c r="J89" s="86"/>
      <c r="K89" s="8"/>
      <c r="L89" s="8"/>
    </row>
    <row r="90" spans="1:12" x14ac:dyDescent="0.3">
      <c r="A90" s="24"/>
      <c r="B90" s="24"/>
      <c r="C90" s="7"/>
      <c r="D90" s="7"/>
      <c r="E90" s="22" t="s">
        <v>144</v>
      </c>
      <c r="F90" s="55">
        <v>0.7</v>
      </c>
      <c r="G90" s="7"/>
      <c r="H90" s="47" t="s">
        <v>167</v>
      </c>
      <c r="I90" s="7"/>
      <c r="J90" s="7"/>
      <c r="K90" s="8"/>
      <c r="L90" s="8"/>
    </row>
    <row r="91" spans="1:12" x14ac:dyDescent="0.3">
      <c r="A91" s="24"/>
      <c r="B91" s="24"/>
      <c r="C91" s="7"/>
      <c r="D91" s="7"/>
      <c r="E91" s="22" t="s">
        <v>147</v>
      </c>
      <c r="F91" s="56">
        <v>0.65</v>
      </c>
      <c r="G91" s="7"/>
      <c r="H91" s="7"/>
      <c r="I91" s="7"/>
      <c r="J91" s="7"/>
      <c r="K91" s="8"/>
      <c r="L91" s="8"/>
    </row>
    <row r="92" spans="1:12" ht="20.25" x14ac:dyDescent="0.4">
      <c r="A92" s="24"/>
      <c r="B92" s="24"/>
      <c r="C92" s="7"/>
      <c r="D92" s="7"/>
      <c r="E92" s="22" t="s">
        <v>148</v>
      </c>
      <c r="F92" s="56">
        <f>F41</f>
        <v>300</v>
      </c>
      <c r="G92" s="48" t="s">
        <v>86</v>
      </c>
      <c r="H92" s="7"/>
      <c r="I92" s="7"/>
      <c r="J92" s="7"/>
      <c r="K92" s="8"/>
      <c r="L92" s="8"/>
    </row>
    <row r="93" spans="1:12" x14ac:dyDescent="0.3">
      <c r="A93" s="24"/>
      <c r="B93" s="24"/>
      <c r="C93" s="7"/>
      <c r="D93" s="7"/>
      <c r="E93" s="22" t="s">
        <v>142</v>
      </c>
      <c r="F93" s="56">
        <f>IF(J36="OK",J35,"ERROR")</f>
        <v>5</v>
      </c>
      <c r="G93" s="7"/>
      <c r="H93" s="7"/>
      <c r="I93" s="7"/>
      <c r="J93" s="7"/>
      <c r="K93" s="8"/>
      <c r="L93" s="8"/>
    </row>
    <row r="94" spans="1:12" ht="20.25" x14ac:dyDescent="0.4">
      <c r="A94" s="24"/>
      <c r="B94" s="24"/>
      <c r="C94" s="7"/>
      <c r="D94" s="7"/>
      <c r="E94" s="22" t="s">
        <v>180</v>
      </c>
      <c r="F94" s="56">
        <f>IF(OR(J44="Spacing of Fastners in a Row Must be &gt;= Four Bolt Diameters", J46="Row Spacing must be &gt;= three bolt diameters"),"ERROR",MIN(F46,F44))</f>
        <v>125</v>
      </c>
      <c r="G94" s="48" t="s">
        <v>86</v>
      </c>
      <c r="H94" s="7"/>
      <c r="I94" s="7"/>
      <c r="J94" s="7"/>
      <c r="K94" s="8"/>
      <c r="L94" s="8"/>
    </row>
    <row r="95" spans="1:12" ht="21.75" x14ac:dyDescent="0.45">
      <c r="A95" s="24"/>
      <c r="B95" s="24"/>
      <c r="C95" s="7"/>
      <c r="D95" s="7"/>
      <c r="E95" s="21" t="s">
        <v>166</v>
      </c>
      <c r="F95" s="56">
        <f>(((F33-1)*F45)-((F33-1)*J40))*(F41)</f>
        <v>37800</v>
      </c>
      <c r="G95" s="43" t="s">
        <v>87</v>
      </c>
      <c r="H95" s="47" t="s">
        <v>167</v>
      </c>
      <c r="I95" s="7"/>
      <c r="J95" s="7"/>
      <c r="K95" s="8"/>
      <c r="L95" s="8"/>
    </row>
    <row r="96" spans="1:12" ht="21.75" x14ac:dyDescent="0.45">
      <c r="A96" s="24"/>
      <c r="B96" s="24"/>
      <c r="C96" s="7"/>
      <c r="D96" s="7"/>
      <c r="E96" s="21" t="s">
        <v>160</v>
      </c>
      <c r="F96" s="56">
        <f>(1.2*J24*J13*J17*J23*F91*F92*F93*F94)/1000</f>
        <v>195.97500000000002</v>
      </c>
      <c r="G96" s="16" t="s">
        <v>109</v>
      </c>
      <c r="H96" s="47" t="s">
        <v>167</v>
      </c>
      <c r="I96" s="7"/>
      <c r="J96" s="7"/>
      <c r="K96" s="8"/>
      <c r="L96" s="8"/>
    </row>
    <row r="97" spans="1:12" ht="21.75" x14ac:dyDescent="0.45">
      <c r="A97" s="24"/>
      <c r="B97" s="24"/>
      <c r="C97" s="7"/>
      <c r="D97" s="7"/>
      <c r="E97" s="21" t="s">
        <v>172</v>
      </c>
      <c r="F97" s="54">
        <f>(1.2*J24*J13*J17*J23*F91*F92*F93*F94)/1000</f>
        <v>195.97500000000002</v>
      </c>
      <c r="G97" s="16" t="s">
        <v>109</v>
      </c>
      <c r="H97" s="47" t="s">
        <v>167</v>
      </c>
      <c r="I97" s="7"/>
      <c r="J97" s="7"/>
      <c r="K97" s="8"/>
      <c r="L97" s="8"/>
    </row>
    <row r="98" spans="1:12" x14ac:dyDescent="0.3">
      <c r="A98" s="24"/>
      <c r="B98" s="24"/>
      <c r="C98" s="7"/>
      <c r="D98" s="7"/>
      <c r="E98" s="7"/>
      <c r="F98" s="6" t="s">
        <v>177</v>
      </c>
      <c r="G98" s="7"/>
      <c r="H98" s="7"/>
      <c r="I98" s="7"/>
      <c r="J98" s="7"/>
      <c r="K98" s="8"/>
      <c r="L98" s="8"/>
    </row>
    <row r="99" spans="1:12" ht="21.75" x14ac:dyDescent="0.45">
      <c r="A99" s="24"/>
      <c r="B99" s="24"/>
      <c r="C99" s="7"/>
      <c r="D99" s="7"/>
      <c r="E99" s="21" t="s">
        <v>165</v>
      </c>
      <c r="F99" s="19">
        <f>((F90)*((((F96*1000)+(F97*1000))/2)+(J19*J13*J17*J23*F95)))/1000</f>
        <v>544.93110000000001</v>
      </c>
      <c r="G99" s="16" t="s">
        <v>109</v>
      </c>
      <c r="H99" s="47" t="s">
        <v>167</v>
      </c>
      <c r="I99" s="7"/>
      <c r="J99" s="7"/>
      <c r="K99" s="8"/>
      <c r="L99" s="8"/>
    </row>
    <row r="100" spans="1:12" x14ac:dyDescent="0.3">
      <c r="A100" s="24"/>
      <c r="B100" s="24"/>
      <c r="C100" s="7"/>
      <c r="D100" s="7"/>
      <c r="E100" s="22"/>
      <c r="F100" s="7"/>
      <c r="G100" s="7"/>
      <c r="H100" s="7"/>
      <c r="I100" s="7"/>
      <c r="J100" s="7"/>
      <c r="K100" s="8"/>
      <c r="L100" s="8"/>
    </row>
    <row r="101" spans="1:12" x14ac:dyDescent="0.3">
      <c r="A101" s="24"/>
      <c r="B101" s="24"/>
      <c r="C101" s="7"/>
      <c r="D101" s="7"/>
      <c r="E101" s="22"/>
      <c r="F101" s="7"/>
      <c r="G101" s="7"/>
      <c r="H101" s="7"/>
      <c r="I101" s="7"/>
      <c r="J101" s="7"/>
      <c r="K101" s="8"/>
      <c r="L101" s="8"/>
    </row>
    <row r="102" spans="1:12" x14ac:dyDescent="0.3">
      <c r="A102" s="24"/>
      <c r="B102" s="24"/>
      <c r="C102" s="7"/>
      <c r="D102" s="7"/>
      <c r="E102" s="22"/>
      <c r="F102" s="7"/>
      <c r="G102" s="7"/>
      <c r="H102" s="7"/>
      <c r="I102" s="7"/>
      <c r="J102" s="7"/>
      <c r="K102" s="8"/>
      <c r="L102" s="8"/>
    </row>
    <row r="103" spans="1:12" x14ac:dyDescent="0.3">
      <c r="A103" s="24"/>
      <c r="B103" s="24"/>
      <c r="C103" s="7"/>
      <c r="D103" s="7"/>
      <c r="E103" s="22"/>
      <c r="F103" s="7"/>
      <c r="G103" s="7"/>
      <c r="H103" s="7"/>
      <c r="I103" s="7"/>
      <c r="J103" s="7"/>
      <c r="K103" s="8"/>
      <c r="L103" s="8"/>
    </row>
    <row r="104" spans="1:12" x14ac:dyDescent="0.3">
      <c r="A104" s="24"/>
      <c r="B104" s="24"/>
      <c r="C104" s="7"/>
      <c r="D104" s="5" t="s">
        <v>95</v>
      </c>
      <c r="E104" s="5"/>
      <c r="F104" s="7"/>
      <c r="G104" s="7"/>
      <c r="H104" s="7"/>
      <c r="I104" s="7"/>
      <c r="J104" s="86"/>
      <c r="K104" s="8"/>
      <c r="L104" s="8"/>
    </row>
    <row r="105" spans="1:12" x14ac:dyDescent="0.3">
      <c r="A105" s="24"/>
      <c r="B105" s="24"/>
      <c r="C105" s="7"/>
      <c r="D105" s="7"/>
      <c r="E105" s="7"/>
      <c r="F105" s="7"/>
      <c r="G105" s="7"/>
      <c r="H105" s="7"/>
      <c r="I105" s="7"/>
      <c r="J105" s="7"/>
      <c r="K105" s="8"/>
      <c r="L105" s="8"/>
    </row>
    <row r="106" spans="1:12" ht="21.75" x14ac:dyDescent="0.45">
      <c r="A106" s="24"/>
      <c r="B106" s="24"/>
      <c r="C106" s="7"/>
      <c r="D106" s="7"/>
      <c r="E106" s="21" t="s">
        <v>107</v>
      </c>
      <c r="F106" s="58">
        <v>0.9</v>
      </c>
      <c r="G106" s="16" t="s">
        <v>108</v>
      </c>
      <c r="H106" s="16" t="s">
        <v>112</v>
      </c>
      <c r="I106" s="7"/>
      <c r="J106" s="7"/>
      <c r="K106" s="8"/>
      <c r="L106" s="8"/>
    </row>
    <row r="107" spans="1:12" ht="21.75" x14ac:dyDescent="0.45">
      <c r="A107" s="24"/>
      <c r="B107" s="24"/>
      <c r="C107" s="7"/>
      <c r="D107" s="7"/>
      <c r="E107" s="21" t="s">
        <v>102</v>
      </c>
      <c r="F107" s="50">
        <f>J19*J13*J21*J22*J23</f>
        <v>23</v>
      </c>
      <c r="G107" s="16" t="s">
        <v>108</v>
      </c>
      <c r="H107" s="16" t="s">
        <v>112</v>
      </c>
      <c r="I107" s="7"/>
      <c r="J107" s="7"/>
      <c r="K107" s="8"/>
      <c r="L107" s="8"/>
    </row>
    <row r="108" spans="1:12" ht="21.75" x14ac:dyDescent="0.45">
      <c r="A108" s="24"/>
      <c r="B108" s="24"/>
      <c r="C108" s="7"/>
      <c r="D108" s="7"/>
      <c r="E108" s="21" t="s">
        <v>103</v>
      </c>
      <c r="F108" s="50">
        <f>J20*J13*J21*J22*J23</f>
        <v>17.899999999999999</v>
      </c>
      <c r="G108" s="16" t="s">
        <v>109</v>
      </c>
      <c r="H108" s="16" t="s">
        <v>112</v>
      </c>
      <c r="I108" s="7"/>
      <c r="J108" s="7"/>
      <c r="K108" s="8"/>
      <c r="L108" s="8"/>
    </row>
    <row r="109" spans="1:12" ht="21.75" x14ac:dyDescent="0.45">
      <c r="A109" s="24"/>
      <c r="B109" s="24"/>
      <c r="C109" s="7"/>
      <c r="D109" s="7"/>
      <c r="E109" s="21" t="s">
        <v>104</v>
      </c>
      <c r="F109" s="50">
        <f>(F106*F107*J41)/1000</f>
        <v>4464.99</v>
      </c>
      <c r="G109" s="16" t="s">
        <v>109</v>
      </c>
      <c r="H109" s="16" t="s">
        <v>112</v>
      </c>
      <c r="I109" s="7"/>
      <c r="J109" s="7"/>
      <c r="K109" s="8"/>
      <c r="L109" s="8"/>
    </row>
    <row r="110" spans="1:12" ht="21.75" x14ac:dyDescent="0.45">
      <c r="A110" s="24"/>
      <c r="B110" s="24"/>
      <c r="C110" s="7"/>
      <c r="D110" s="7"/>
      <c r="E110" s="21" t="s">
        <v>105</v>
      </c>
      <c r="F110" s="54">
        <f>(F106*F108*J39)/1000</f>
        <v>3866.4</v>
      </c>
      <c r="G110" s="16"/>
      <c r="H110" s="16" t="s">
        <v>112</v>
      </c>
      <c r="I110" s="7"/>
      <c r="J110" s="7"/>
      <c r="K110" s="8"/>
      <c r="L110" s="8"/>
    </row>
    <row r="111" spans="1:12" ht="21.75" x14ac:dyDescent="0.45">
      <c r="A111" s="24"/>
      <c r="B111" s="24"/>
      <c r="C111" s="7"/>
      <c r="D111" s="7"/>
      <c r="E111" s="21"/>
      <c r="F111" s="6"/>
      <c r="G111" s="16"/>
      <c r="H111" s="16"/>
      <c r="I111" s="7"/>
      <c r="J111" s="7"/>
      <c r="K111" s="8"/>
      <c r="L111" s="8"/>
    </row>
    <row r="112" spans="1:12" ht="21.75" x14ac:dyDescent="0.45">
      <c r="A112" s="24"/>
      <c r="B112" s="24"/>
      <c r="C112" s="7"/>
      <c r="D112" s="7"/>
      <c r="E112" s="21" t="s">
        <v>106</v>
      </c>
      <c r="F112" s="19">
        <f>MIN(F109:F110)</f>
        <v>3866.4</v>
      </c>
      <c r="G112" s="18" t="s">
        <v>109</v>
      </c>
      <c r="H112" s="16" t="s">
        <v>112</v>
      </c>
      <c r="I112" s="7"/>
      <c r="J112" s="7"/>
      <c r="K112" s="8"/>
      <c r="L112" s="8"/>
    </row>
    <row r="113" spans="1:12" x14ac:dyDescent="0.3">
      <c r="A113" s="24"/>
      <c r="B113" s="24"/>
      <c r="C113" s="7"/>
      <c r="D113" s="7"/>
      <c r="E113" s="7"/>
      <c r="F113" s="7"/>
      <c r="G113" s="7"/>
      <c r="H113" s="7"/>
      <c r="I113" s="7"/>
      <c r="J113" s="7"/>
      <c r="K113" s="8"/>
      <c r="L113" s="8"/>
    </row>
    <row r="114" spans="1:12" x14ac:dyDescent="0.3">
      <c r="A114" s="24"/>
      <c r="B114" s="63"/>
      <c r="C114" s="7"/>
      <c r="D114" s="7"/>
      <c r="E114" s="7"/>
      <c r="F114" s="7"/>
      <c r="G114" s="7"/>
      <c r="H114" s="7"/>
      <c r="I114" s="7"/>
      <c r="J114" s="7"/>
      <c r="K114" s="8"/>
      <c r="L114" s="8"/>
    </row>
    <row r="115" spans="1:12" x14ac:dyDescent="0.3">
      <c r="A115" s="83" t="s">
        <v>173</v>
      </c>
      <c r="B115" s="94"/>
      <c r="C115" s="95"/>
      <c r="D115" s="84"/>
      <c r="E115" s="84"/>
      <c r="F115" s="84"/>
      <c r="G115" s="84"/>
      <c r="H115" s="84"/>
      <c r="I115" s="84"/>
      <c r="J115" s="84"/>
      <c r="K115" s="84"/>
      <c r="L115" s="85"/>
    </row>
    <row r="116" spans="1:12" x14ac:dyDescent="0.3">
      <c r="A116" s="2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</row>
    <row r="117" spans="1:12" x14ac:dyDescent="0.3">
      <c r="A117" s="24"/>
      <c r="B117" s="7"/>
      <c r="C117" s="64" t="s">
        <v>92</v>
      </c>
      <c r="D117" s="12"/>
      <c r="E117" s="12"/>
      <c r="F117" s="65"/>
      <c r="G117" s="39"/>
      <c r="H117" s="7"/>
      <c r="I117" s="7"/>
      <c r="J117" s="7"/>
      <c r="K117" s="7"/>
      <c r="L117" s="8"/>
    </row>
    <row r="118" spans="1:12" ht="21.75" x14ac:dyDescent="0.45">
      <c r="A118" s="24"/>
      <c r="B118" s="7"/>
      <c r="C118" s="44"/>
      <c r="D118" s="42"/>
      <c r="E118" s="66" t="s">
        <v>141</v>
      </c>
      <c r="F118" s="67">
        <v>452.89</v>
      </c>
      <c r="G118" s="41" t="s">
        <v>109</v>
      </c>
      <c r="H118" s="7"/>
      <c r="I118" s="7"/>
      <c r="J118" s="7"/>
      <c r="K118" s="7"/>
      <c r="L118" s="8"/>
    </row>
    <row r="119" spans="1:12" x14ac:dyDescent="0.3">
      <c r="A119" s="24"/>
      <c r="B119" s="7"/>
      <c r="C119" s="44"/>
      <c r="D119" s="42"/>
      <c r="E119" s="42"/>
      <c r="F119" s="42"/>
      <c r="G119" s="40"/>
      <c r="H119" s="7"/>
      <c r="I119" s="7"/>
      <c r="J119" s="7"/>
      <c r="K119" s="7"/>
      <c r="L119" s="8"/>
    </row>
    <row r="120" spans="1:12" x14ac:dyDescent="0.3">
      <c r="A120" s="24"/>
      <c r="B120" s="7"/>
      <c r="C120" s="45" t="s">
        <v>93</v>
      </c>
      <c r="D120" s="68"/>
      <c r="E120" s="68"/>
      <c r="F120" s="42"/>
      <c r="G120" s="40"/>
      <c r="H120" s="7"/>
      <c r="I120" s="7"/>
      <c r="J120" s="7"/>
      <c r="K120" s="7"/>
      <c r="L120" s="8"/>
    </row>
    <row r="121" spans="1:12" ht="21.75" x14ac:dyDescent="0.45">
      <c r="A121" s="24"/>
      <c r="B121" s="7"/>
      <c r="C121" s="44"/>
      <c r="D121" s="42"/>
      <c r="E121" s="66" t="s">
        <v>159</v>
      </c>
      <c r="F121" s="69">
        <f>MIN(F87,F99,F112)</f>
        <v>411.54750000000001</v>
      </c>
      <c r="G121" s="41" t="s">
        <v>109</v>
      </c>
      <c r="H121" s="7"/>
      <c r="I121" s="7"/>
      <c r="J121" s="7"/>
      <c r="K121" s="7"/>
      <c r="L121" s="8"/>
    </row>
    <row r="122" spans="1:12" x14ac:dyDescent="0.3">
      <c r="A122" s="24"/>
      <c r="B122" s="7"/>
      <c r="C122" s="44" t="s">
        <v>94</v>
      </c>
      <c r="D122" s="42"/>
      <c r="E122" s="42"/>
      <c r="F122" s="42"/>
      <c r="G122" s="40"/>
      <c r="H122" s="7"/>
      <c r="I122" s="7"/>
      <c r="J122" s="7"/>
      <c r="K122" s="7"/>
      <c r="L122" s="8"/>
    </row>
    <row r="123" spans="1:12" x14ac:dyDescent="0.3">
      <c r="A123" s="24"/>
      <c r="B123" s="7"/>
      <c r="C123" s="44"/>
      <c r="D123" s="42"/>
      <c r="E123" s="42"/>
      <c r="F123" s="42"/>
      <c r="G123" s="40"/>
      <c r="H123" s="7"/>
      <c r="I123" s="7"/>
      <c r="J123" s="7"/>
      <c r="K123" s="7"/>
      <c r="L123" s="8"/>
    </row>
    <row r="124" spans="1:12" ht="21.75" x14ac:dyDescent="0.45">
      <c r="A124" s="24"/>
      <c r="B124" s="7"/>
      <c r="C124" s="70"/>
      <c r="D124" s="71"/>
      <c r="E124" s="72" t="s">
        <v>98</v>
      </c>
      <c r="F124" s="73">
        <f>F87</f>
        <v>411.54750000000001</v>
      </c>
      <c r="G124" s="74" t="s">
        <v>109</v>
      </c>
      <c r="H124" s="7"/>
      <c r="I124" s="7"/>
      <c r="J124" s="7"/>
      <c r="K124" s="7"/>
      <c r="L124" s="8"/>
    </row>
    <row r="125" spans="1:12" x14ac:dyDescent="0.3">
      <c r="A125" s="24"/>
      <c r="B125" s="7"/>
      <c r="C125" s="44"/>
      <c r="D125" s="42"/>
      <c r="E125" s="38"/>
      <c r="F125" s="42"/>
      <c r="G125" s="40"/>
      <c r="H125" s="7"/>
      <c r="I125" s="7"/>
      <c r="J125" s="7"/>
      <c r="K125" s="7"/>
      <c r="L125" s="8"/>
    </row>
    <row r="126" spans="1:12" ht="21.75" x14ac:dyDescent="0.45">
      <c r="A126" s="24"/>
      <c r="B126" s="7"/>
      <c r="C126" s="70"/>
      <c r="D126" s="71"/>
      <c r="E126" s="75" t="s">
        <v>97</v>
      </c>
      <c r="F126" s="76">
        <f>F99</f>
        <v>544.93110000000001</v>
      </c>
      <c r="G126" s="41" t="s">
        <v>109</v>
      </c>
      <c r="H126" s="7"/>
      <c r="I126" s="7"/>
      <c r="J126" s="7"/>
      <c r="K126" s="7"/>
      <c r="L126" s="8"/>
    </row>
    <row r="127" spans="1:12" x14ac:dyDescent="0.3">
      <c r="A127" s="24"/>
      <c r="B127" s="7"/>
      <c r="C127" s="44"/>
      <c r="D127" s="42"/>
      <c r="E127" s="38"/>
      <c r="F127" s="42"/>
      <c r="G127" s="40"/>
      <c r="H127" s="7"/>
      <c r="I127" s="7"/>
      <c r="J127" s="7"/>
      <c r="K127" s="7"/>
      <c r="L127" s="8"/>
    </row>
    <row r="128" spans="1:12" ht="21.75" x14ac:dyDescent="0.45">
      <c r="A128" s="24"/>
      <c r="B128" s="7"/>
      <c r="C128" s="77"/>
      <c r="D128" s="78"/>
      <c r="E128" s="79" t="s">
        <v>96</v>
      </c>
      <c r="F128" s="80">
        <v>1549.1250000000005</v>
      </c>
      <c r="G128" s="81" t="s">
        <v>109</v>
      </c>
      <c r="H128" s="7"/>
      <c r="I128" s="7"/>
      <c r="J128" s="7"/>
      <c r="K128" s="7"/>
      <c r="L128" s="8"/>
    </row>
    <row r="129" spans="1:12" x14ac:dyDescent="0.3">
      <c r="A129" s="24"/>
      <c r="B129" s="7"/>
      <c r="C129" s="7"/>
      <c r="D129" s="7"/>
      <c r="E129" s="22"/>
      <c r="F129" s="7"/>
      <c r="G129" s="7"/>
      <c r="H129" s="7"/>
      <c r="I129" s="7"/>
      <c r="J129" s="7"/>
      <c r="K129" s="7"/>
      <c r="L129" s="8"/>
    </row>
    <row r="130" spans="1:12" x14ac:dyDescent="0.3">
      <c r="A130" s="24"/>
      <c r="B130" s="7"/>
      <c r="C130" s="7"/>
      <c r="D130" s="7"/>
      <c r="E130" s="22"/>
      <c r="F130" s="7"/>
      <c r="G130" s="7"/>
      <c r="H130" s="7"/>
      <c r="I130" s="7"/>
      <c r="J130" s="7"/>
      <c r="K130" s="7"/>
      <c r="L130" s="8"/>
    </row>
    <row r="131" spans="1:12" x14ac:dyDescent="0.3">
      <c r="A131" s="2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x14ac:dyDescent="0.3">
      <c r="A132" s="6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6"/>
    </row>
  </sheetData>
  <dataConsolidate/>
  <phoneticPr fontId="27" type="noConversion"/>
  <pageMargins left="1" right="1" top="1" bottom="1" header="0.5" footer="0.5"/>
  <pageSetup scale="45" orientation="landscape" horizontalDpi="4294967292" verticalDpi="4294967292"/>
  <rowBreaks count="2" manualBreakCount="2">
    <brk id="48" max="16383" man="1"/>
    <brk id="100" max="16383" man="1"/>
  </rowBreaks>
  <colBreaks count="1" manualBreakCount="1">
    <brk id="12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'Glulam Material'!$A$20:$A$22</xm:f>
          </x14:formula1>
          <xm:sqref>F19</xm:sqref>
        </x14:dataValidation>
        <x14:dataValidation type="list" allowBlank="1" showInputMessage="1" showErrorMessage="1">
          <x14:formula1>
            <xm:f>'Glulam Material'!$A$25:$A$32</xm:f>
          </x14:formula1>
          <xm:sqref>F20</xm:sqref>
        </x14:dataValidation>
        <x14:dataValidation type="list" allowBlank="1" showInputMessage="1" showErrorMessage="1">
          <x14:formula1>
            <xm:f>'Lists '!$A$9:$A$10</xm:f>
          </x14:formula1>
          <xm:sqref>F21</xm:sqref>
        </x14:dataValidation>
        <x14:dataValidation type="list" allowBlank="1" showInputMessage="1" showErrorMessage="1">
          <x14:formula1>
            <xm:f>'Lists '!$A$5:$A$6</xm:f>
          </x14:formula1>
          <xm:sqref>F22</xm:sqref>
        </x14:dataValidation>
        <x14:dataValidation type="list" allowBlank="1" showInputMessage="1" showErrorMessage="1">
          <x14:formula1>
            <xm:f>'Lists '!$A$13:$A$15</xm:f>
          </x14:formula1>
          <xm:sqref>F23:F25</xm:sqref>
        </x14:dataValidation>
        <x14:dataValidation type="list" allowBlank="1" showInputMessage="1" showErrorMessage="1">
          <x14:formula1>
            <xm:f>Steel!$A$4:$A$6</xm:f>
          </x14:formula1>
          <xm:sqref>F15</xm:sqref>
        </x14:dataValidation>
        <x14:dataValidation type="list" allowBlank="1" showInputMessage="1" showErrorMessage="1">
          <x14:formula1>
            <xm:f>Steel!$A$9:$A$10</xm:f>
          </x14:formula1>
          <xm:sqref>F16</xm:sqref>
        </x14:dataValidation>
        <x14:dataValidation type="list" allowBlank="1" showInputMessage="1" showErrorMessage="1">
          <x14:formula1>
            <xm:f>'Lists '!$A$18:$A$20</xm:f>
          </x14:formula1>
          <xm:sqref>F13</xm:sqref>
        </x14:dataValidation>
        <x14:dataValidation type="list" allowBlank="1" showInputMessage="1" showErrorMessage="1">
          <x14:formula1>
            <xm:f>Steel!A13:A14</xm:f>
          </x14:formula1>
          <xm:sqref>F17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6" workbookViewId="0">
      <selection activeCell="A35" sqref="A35"/>
    </sheetView>
  </sheetViews>
  <sheetFormatPr defaultColWidth="11" defaultRowHeight="15.75" x14ac:dyDescent="0.25"/>
  <cols>
    <col min="1" max="1" width="41.5" bestFit="1" customWidth="1"/>
    <col min="14" max="14" width="15.375" customWidth="1"/>
  </cols>
  <sheetData>
    <row r="1" spans="1:14" ht="18.75" x14ac:dyDescent="0.3">
      <c r="A1" s="101" t="s">
        <v>34</v>
      </c>
      <c r="B1" s="101"/>
      <c r="C1" s="101"/>
      <c r="D1" s="101"/>
    </row>
    <row r="4" spans="1:14" x14ac:dyDescent="0.25">
      <c r="C4" s="98" t="s">
        <v>3</v>
      </c>
      <c r="D4" s="99"/>
      <c r="E4" s="99"/>
      <c r="F4" s="99"/>
      <c r="G4" s="99"/>
      <c r="H4" s="99"/>
      <c r="I4" s="99" t="s">
        <v>4</v>
      </c>
      <c r="J4" s="99"/>
      <c r="K4" s="99"/>
      <c r="L4" s="99"/>
      <c r="M4" s="99" t="s">
        <v>5</v>
      </c>
      <c r="N4" s="100"/>
    </row>
    <row r="5" spans="1:14" x14ac:dyDescent="0.25">
      <c r="C5" s="96" t="s">
        <v>6</v>
      </c>
      <c r="D5" s="96" t="s">
        <v>7</v>
      </c>
      <c r="E5" s="96" t="s">
        <v>8</v>
      </c>
      <c r="F5" s="96" t="s">
        <v>9</v>
      </c>
      <c r="G5" s="96" t="s">
        <v>10</v>
      </c>
      <c r="H5" s="96" t="s">
        <v>11</v>
      </c>
      <c r="I5" s="96" t="s">
        <v>8</v>
      </c>
      <c r="J5" s="96" t="s">
        <v>9</v>
      </c>
      <c r="K5" s="96" t="s">
        <v>12</v>
      </c>
      <c r="L5" s="96" t="s">
        <v>13</v>
      </c>
      <c r="M5" s="96" t="s">
        <v>6</v>
      </c>
      <c r="N5" s="96" t="s">
        <v>7</v>
      </c>
    </row>
    <row r="6" spans="1:14" x14ac:dyDescent="0.25">
      <c r="A6" s="96" t="s">
        <v>14</v>
      </c>
      <c r="B6" s="96" t="s">
        <v>15</v>
      </c>
      <c r="C6" s="97">
        <v>30.6</v>
      </c>
      <c r="D6" s="97">
        <v>30.6</v>
      </c>
      <c r="E6" s="97">
        <v>25.6</v>
      </c>
      <c r="F6" s="97">
        <v>25.6</v>
      </c>
      <c r="G6" s="97">
        <v>24.3</v>
      </c>
      <c r="H6" s="97">
        <v>14</v>
      </c>
      <c r="I6" s="97">
        <v>25.6</v>
      </c>
      <c r="J6" s="97">
        <v>25.6</v>
      </c>
      <c r="K6" s="97">
        <v>24.3</v>
      </c>
      <c r="L6" s="97">
        <v>9.8000000000000007</v>
      </c>
      <c r="M6" s="97">
        <v>30.6</v>
      </c>
      <c r="N6" s="97">
        <v>30.6</v>
      </c>
    </row>
    <row r="7" spans="1:14" x14ac:dyDescent="0.25">
      <c r="A7" s="96" t="s">
        <v>16</v>
      </c>
      <c r="B7" s="96" t="s">
        <v>17</v>
      </c>
      <c r="C7" s="97">
        <v>23</v>
      </c>
      <c r="D7" s="97">
        <v>30.6</v>
      </c>
      <c r="E7" s="97">
        <v>19.2</v>
      </c>
      <c r="F7" s="97">
        <v>25.6</v>
      </c>
      <c r="G7" s="97">
        <v>24.3</v>
      </c>
      <c r="H7" s="97">
        <v>14</v>
      </c>
      <c r="I7" s="97">
        <v>19.2</v>
      </c>
      <c r="J7" s="97">
        <v>25.6</v>
      </c>
      <c r="K7" s="97">
        <v>24.3</v>
      </c>
      <c r="L7" s="97">
        <v>9.8000000000000007</v>
      </c>
      <c r="M7" s="97">
        <v>23</v>
      </c>
      <c r="N7" s="97">
        <v>30.6</v>
      </c>
    </row>
    <row r="8" spans="1:14" x14ac:dyDescent="0.25">
      <c r="A8" s="96" t="s">
        <v>18</v>
      </c>
      <c r="B8" s="96" t="s">
        <v>19</v>
      </c>
      <c r="C8" s="97">
        <v>2</v>
      </c>
      <c r="D8" s="97">
        <v>2</v>
      </c>
      <c r="E8" s="97">
        <v>2</v>
      </c>
      <c r="F8" s="97">
        <v>2</v>
      </c>
      <c r="G8" s="97">
        <v>2</v>
      </c>
      <c r="H8" s="97">
        <v>2</v>
      </c>
      <c r="I8" s="97">
        <v>1.75</v>
      </c>
      <c r="J8" s="97">
        <v>1.75</v>
      </c>
      <c r="K8" s="97">
        <v>1.75</v>
      </c>
      <c r="L8" s="97">
        <v>1.75</v>
      </c>
      <c r="M8" s="97">
        <v>1.75</v>
      </c>
      <c r="N8" s="97">
        <v>1.75</v>
      </c>
    </row>
    <row r="9" spans="1:14" x14ac:dyDescent="0.25">
      <c r="A9" s="96" t="s">
        <v>168</v>
      </c>
      <c r="B9" s="96" t="s">
        <v>169</v>
      </c>
      <c r="C9" s="97">
        <v>30.2</v>
      </c>
      <c r="D9" s="97">
        <v>30.2</v>
      </c>
      <c r="E9" s="97">
        <v>30.2</v>
      </c>
      <c r="F9" s="97">
        <v>30.2</v>
      </c>
      <c r="G9" s="97">
        <v>30.2</v>
      </c>
      <c r="H9" s="97">
        <v>30.2</v>
      </c>
      <c r="I9" s="97">
        <v>25.2</v>
      </c>
      <c r="J9" s="97">
        <v>25.2</v>
      </c>
      <c r="K9" s="97">
        <v>25.2</v>
      </c>
      <c r="L9" s="97">
        <v>25.2</v>
      </c>
      <c r="M9" s="97">
        <v>0</v>
      </c>
      <c r="N9" s="97">
        <v>0</v>
      </c>
    </row>
    <row r="10" spans="1:14" x14ac:dyDescent="0.25">
      <c r="A10" s="96" t="s">
        <v>20</v>
      </c>
      <c r="B10" s="96" t="s">
        <v>21</v>
      </c>
      <c r="C10" s="97">
        <v>30.2</v>
      </c>
      <c r="D10" s="97">
        <v>30.2</v>
      </c>
      <c r="E10" s="97">
        <v>30.2</v>
      </c>
      <c r="F10" s="97">
        <v>30.2</v>
      </c>
      <c r="G10" s="97">
        <v>30.2</v>
      </c>
      <c r="H10" s="97">
        <v>30.2</v>
      </c>
      <c r="I10" s="97">
        <v>25.2</v>
      </c>
      <c r="J10" s="97">
        <v>25.2</v>
      </c>
      <c r="K10" s="97">
        <v>25.2</v>
      </c>
      <c r="L10" s="97">
        <v>25.2</v>
      </c>
      <c r="M10" s="97">
        <v>0</v>
      </c>
      <c r="N10" s="97">
        <v>0</v>
      </c>
    </row>
    <row r="11" spans="1:14" x14ac:dyDescent="0.25">
      <c r="A11" s="96" t="s">
        <v>22</v>
      </c>
      <c r="B11" s="96" t="s">
        <v>23</v>
      </c>
      <c r="C11" s="97">
        <v>7</v>
      </c>
      <c r="D11" s="97">
        <v>7</v>
      </c>
      <c r="E11" s="97">
        <v>7</v>
      </c>
      <c r="F11" s="97">
        <v>7</v>
      </c>
      <c r="G11" s="97">
        <v>7</v>
      </c>
      <c r="H11" s="97">
        <v>7</v>
      </c>
      <c r="I11" s="97">
        <v>5.8</v>
      </c>
      <c r="J11" s="97">
        <v>5.8</v>
      </c>
      <c r="K11" s="97">
        <v>5.8</v>
      </c>
      <c r="L11" s="97">
        <v>5.8</v>
      </c>
      <c r="M11" s="97">
        <v>4.5999999999999996</v>
      </c>
      <c r="N11" s="97">
        <v>7</v>
      </c>
    </row>
    <row r="12" spans="1:14" x14ac:dyDescent="0.25">
      <c r="A12" s="96" t="s">
        <v>24</v>
      </c>
      <c r="B12" s="96" t="s">
        <v>25</v>
      </c>
      <c r="C12" s="97">
        <v>7</v>
      </c>
      <c r="D12" s="97">
        <v>7</v>
      </c>
      <c r="E12" s="97">
        <v>7</v>
      </c>
      <c r="F12" s="97">
        <v>7</v>
      </c>
      <c r="G12" s="97">
        <v>7</v>
      </c>
      <c r="H12" s="97">
        <v>7</v>
      </c>
      <c r="I12" s="97">
        <v>5.8</v>
      </c>
      <c r="J12" s="97">
        <v>5.8</v>
      </c>
      <c r="K12" s="97">
        <v>5.8</v>
      </c>
      <c r="L12" s="97">
        <v>5.8</v>
      </c>
      <c r="M12" s="97">
        <v>7</v>
      </c>
      <c r="N12" s="97">
        <v>7</v>
      </c>
    </row>
    <row r="13" spans="1:14" x14ac:dyDescent="0.25">
      <c r="A13" s="96" t="s">
        <v>26</v>
      </c>
      <c r="B13" s="96" t="s">
        <v>27</v>
      </c>
      <c r="C13" s="97">
        <v>20.399999999999999</v>
      </c>
      <c r="D13" s="97">
        <v>20.399999999999999</v>
      </c>
      <c r="E13" s="97">
        <v>20.399999999999999</v>
      </c>
      <c r="F13" s="97">
        <v>20.399999999999999</v>
      </c>
      <c r="G13" s="97">
        <v>23</v>
      </c>
      <c r="H13" s="97">
        <v>20.399999999999999</v>
      </c>
      <c r="I13" s="97">
        <v>17</v>
      </c>
      <c r="J13" s="97">
        <v>17</v>
      </c>
      <c r="K13" s="97">
        <v>17.899999999999999</v>
      </c>
      <c r="L13" s="97">
        <v>17</v>
      </c>
      <c r="M13" s="97">
        <v>20.399999999999999</v>
      </c>
      <c r="N13" s="97">
        <v>20.399999999999999</v>
      </c>
    </row>
    <row r="14" spans="1:14" x14ac:dyDescent="0.25">
      <c r="A14" s="96" t="s">
        <v>28</v>
      </c>
      <c r="B14" s="96" t="s">
        <v>29</v>
      </c>
      <c r="C14" s="97">
        <v>15.3</v>
      </c>
      <c r="D14" s="97">
        <v>15.3</v>
      </c>
      <c r="E14" s="97">
        <v>15.3</v>
      </c>
      <c r="F14" s="97">
        <v>15.3</v>
      </c>
      <c r="G14" s="97">
        <v>17.899999999999999</v>
      </c>
      <c r="H14" s="97">
        <v>15.3</v>
      </c>
      <c r="I14" s="97">
        <v>12.7</v>
      </c>
      <c r="J14" s="97">
        <v>12.7</v>
      </c>
      <c r="K14" s="97">
        <v>13.4</v>
      </c>
      <c r="L14" s="97">
        <v>12.7</v>
      </c>
      <c r="M14" s="97">
        <v>15.3</v>
      </c>
      <c r="N14" s="97">
        <v>15.3</v>
      </c>
    </row>
    <row r="15" spans="1:14" x14ac:dyDescent="0.25">
      <c r="A15" s="96" t="s">
        <v>30</v>
      </c>
      <c r="B15" s="96" t="s">
        <v>31</v>
      </c>
      <c r="C15" s="96">
        <v>0.83</v>
      </c>
      <c r="D15" s="96">
        <v>0.83</v>
      </c>
      <c r="E15" s="96">
        <v>0.83</v>
      </c>
      <c r="F15" s="96">
        <v>0.83</v>
      </c>
      <c r="G15" s="96">
        <v>0.83</v>
      </c>
      <c r="H15" s="96">
        <v>0.83</v>
      </c>
      <c r="I15" s="96">
        <v>0.51</v>
      </c>
      <c r="J15" s="96">
        <v>0.51</v>
      </c>
      <c r="K15" s="96">
        <v>0.51</v>
      </c>
      <c r="L15" s="96">
        <v>0.51</v>
      </c>
      <c r="M15" s="96">
        <v>0.83</v>
      </c>
      <c r="N15" s="96">
        <v>0.83</v>
      </c>
    </row>
    <row r="16" spans="1:14" x14ac:dyDescent="0.25">
      <c r="A16" s="96" t="s">
        <v>32</v>
      </c>
      <c r="B16" s="96" t="s">
        <v>33</v>
      </c>
      <c r="C16" s="96">
        <v>12800</v>
      </c>
      <c r="D16" s="96">
        <v>12800</v>
      </c>
      <c r="E16" s="96">
        <v>12400</v>
      </c>
      <c r="F16" s="96">
        <v>12400</v>
      </c>
      <c r="G16" s="96">
        <v>13800</v>
      </c>
      <c r="H16" s="96">
        <v>12400</v>
      </c>
      <c r="I16" s="96">
        <v>10300</v>
      </c>
      <c r="J16" s="96">
        <v>10300</v>
      </c>
      <c r="K16" s="96">
        <v>10700</v>
      </c>
      <c r="L16" s="96">
        <v>9700</v>
      </c>
      <c r="M16" s="96">
        <v>13100</v>
      </c>
      <c r="N16" s="96">
        <v>13100</v>
      </c>
    </row>
    <row r="19" spans="1:1" x14ac:dyDescent="0.25">
      <c r="A19" s="3" t="s">
        <v>35</v>
      </c>
    </row>
    <row r="20" spans="1:1" x14ac:dyDescent="0.25">
      <c r="A20" s="102" t="s">
        <v>3</v>
      </c>
    </row>
    <row r="21" spans="1:1" x14ac:dyDescent="0.25">
      <c r="A21" s="103" t="s">
        <v>4</v>
      </c>
    </row>
    <row r="22" spans="1:1" x14ac:dyDescent="0.25">
      <c r="A22" s="104" t="s">
        <v>5</v>
      </c>
    </row>
    <row r="24" spans="1:1" x14ac:dyDescent="0.25">
      <c r="A24" s="3" t="s">
        <v>36</v>
      </c>
    </row>
    <row r="25" spans="1:1" x14ac:dyDescent="0.25">
      <c r="A25" s="105" t="s">
        <v>6</v>
      </c>
    </row>
    <row r="26" spans="1:1" x14ac:dyDescent="0.25">
      <c r="A26" s="106" t="s">
        <v>7</v>
      </c>
    </row>
    <row r="27" spans="1:1" x14ac:dyDescent="0.25">
      <c r="A27" s="106" t="s">
        <v>8</v>
      </c>
    </row>
    <row r="28" spans="1:1" x14ac:dyDescent="0.25">
      <c r="A28" s="106" t="s">
        <v>9</v>
      </c>
    </row>
    <row r="29" spans="1:1" x14ac:dyDescent="0.25">
      <c r="A29" s="106" t="s">
        <v>10</v>
      </c>
    </row>
    <row r="30" spans="1:1" x14ac:dyDescent="0.25">
      <c r="A30" s="106" t="s">
        <v>11</v>
      </c>
    </row>
    <row r="31" spans="1:1" x14ac:dyDescent="0.25">
      <c r="A31" s="106" t="s">
        <v>12</v>
      </c>
    </row>
    <row r="32" spans="1:1" x14ac:dyDescent="0.25">
      <c r="A32" s="107" t="s">
        <v>13</v>
      </c>
    </row>
    <row r="34" spans="1:1" x14ac:dyDescent="0.25">
      <c r="A34" s="4" t="s">
        <v>178</v>
      </c>
    </row>
    <row r="35" spans="1:1" ht="18.75" x14ac:dyDescent="0.3">
      <c r="A35" s="7">
        <f>INT(Design!J35)</f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7" sqref="A17"/>
    </sheetView>
  </sheetViews>
  <sheetFormatPr defaultColWidth="11" defaultRowHeight="15.75" x14ac:dyDescent="0.25"/>
  <cols>
    <col min="1" max="1" width="27.5" bestFit="1" customWidth="1"/>
  </cols>
  <sheetData>
    <row r="1" spans="1:2" x14ac:dyDescent="0.25">
      <c r="A1" s="2" t="s">
        <v>174</v>
      </c>
    </row>
    <row r="4" spans="1:2" x14ac:dyDescent="0.25">
      <c r="A4" s="3" t="s">
        <v>37</v>
      </c>
      <c r="B4" s="3"/>
    </row>
    <row r="5" spans="1:2" x14ac:dyDescent="0.25">
      <c r="A5" s="114" t="s">
        <v>38</v>
      </c>
      <c r="B5" s="109"/>
    </row>
    <row r="6" spans="1:2" x14ac:dyDescent="0.25">
      <c r="A6" s="116" t="s">
        <v>39</v>
      </c>
      <c r="B6" s="113"/>
    </row>
    <row r="8" spans="1:2" x14ac:dyDescent="0.25">
      <c r="A8" s="3" t="s">
        <v>40</v>
      </c>
      <c r="B8" s="3"/>
    </row>
    <row r="9" spans="1:2" x14ac:dyDescent="0.25">
      <c r="A9" s="114" t="s">
        <v>41</v>
      </c>
      <c r="B9" s="109"/>
    </row>
    <row r="10" spans="1:2" x14ac:dyDescent="0.25">
      <c r="A10" s="116" t="s">
        <v>42</v>
      </c>
      <c r="B10" s="113"/>
    </row>
    <row r="12" spans="1:2" x14ac:dyDescent="0.25">
      <c r="A12" s="3" t="s">
        <v>43</v>
      </c>
      <c r="B12" s="3"/>
    </row>
    <row r="13" spans="1:2" x14ac:dyDescent="0.25">
      <c r="A13" s="114" t="s">
        <v>44</v>
      </c>
      <c r="B13" s="109"/>
    </row>
    <row r="14" spans="1:2" x14ac:dyDescent="0.25">
      <c r="A14" s="115" t="s">
        <v>45</v>
      </c>
      <c r="B14" s="111"/>
    </row>
    <row r="15" spans="1:2" x14ac:dyDescent="0.25">
      <c r="A15" s="116" t="s">
        <v>46</v>
      </c>
      <c r="B15" s="113"/>
    </row>
    <row r="17" spans="1:2" x14ac:dyDescent="0.25">
      <c r="A17" s="3" t="s">
        <v>80</v>
      </c>
      <c r="B17" s="3"/>
    </row>
    <row r="18" spans="1:2" x14ac:dyDescent="0.25">
      <c r="A18" s="108" t="s">
        <v>77</v>
      </c>
      <c r="B18" s="109"/>
    </row>
    <row r="19" spans="1:2" x14ac:dyDescent="0.25">
      <c r="A19" s="110" t="s">
        <v>78</v>
      </c>
      <c r="B19" s="111"/>
    </row>
    <row r="20" spans="1:2" x14ac:dyDescent="0.25">
      <c r="A20" s="112" t="s">
        <v>79</v>
      </c>
      <c r="B20" s="1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5" sqref="A15"/>
    </sheetView>
  </sheetViews>
  <sheetFormatPr defaultColWidth="11" defaultRowHeight="15.75" x14ac:dyDescent="0.25"/>
  <cols>
    <col min="1" max="1" width="31.875" bestFit="1" customWidth="1"/>
  </cols>
  <sheetData>
    <row r="1" spans="1:3" x14ac:dyDescent="0.25">
      <c r="A1" s="2" t="s">
        <v>175</v>
      </c>
    </row>
    <row r="3" spans="1:3" x14ac:dyDescent="0.25">
      <c r="A3" s="4" t="s">
        <v>60</v>
      </c>
      <c r="B3" s="4"/>
      <c r="C3" s="4"/>
    </row>
    <row r="4" spans="1:3" x14ac:dyDescent="0.25">
      <c r="A4" s="114" t="s">
        <v>58</v>
      </c>
      <c r="B4" s="117"/>
      <c r="C4" s="109"/>
    </row>
    <row r="5" spans="1:3" x14ac:dyDescent="0.25">
      <c r="A5" s="115" t="s">
        <v>59</v>
      </c>
      <c r="B5" s="118"/>
      <c r="C5" s="111"/>
    </row>
    <row r="6" spans="1:3" x14ac:dyDescent="0.25">
      <c r="A6" s="116" t="s">
        <v>65</v>
      </c>
      <c r="B6" s="3"/>
      <c r="C6" s="113"/>
    </row>
    <row r="8" spans="1:3" x14ac:dyDescent="0.25">
      <c r="A8" s="3" t="s">
        <v>36</v>
      </c>
    </row>
    <row r="9" spans="1:3" x14ac:dyDescent="0.25">
      <c r="A9" s="114">
        <v>2</v>
      </c>
      <c r="B9" s="117"/>
      <c r="C9" s="109"/>
    </row>
    <row r="10" spans="1:3" x14ac:dyDescent="0.25">
      <c r="A10" s="116" t="s">
        <v>65</v>
      </c>
      <c r="B10" s="3"/>
      <c r="C10" s="113"/>
    </row>
    <row r="12" spans="1:3" x14ac:dyDescent="0.25">
      <c r="A12" s="3" t="s">
        <v>163</v>
      </c>
      <c r="B12" s="3"/>
      <c r="C12" s="3"/>
    </row>
    <row r="13" spans="1:3" x14ac:dyDescent="0.25">
      <c r="A13" s="108" t="s">
        <v>38</v>
      </c>
      <c r="B13" s="117"/>
      <c r="C13" s="109"/>
    </row>
    <row r="14" spans="1:3" x14ac:dyDescent="0.25">
      <c r="A14" s="112" t="s">
        <v>39</v>
      </c>
      <c r="B14" s="3"/>
      <c r="C14" s="11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Design</vt:lpstr>
      <vt:lpstr>Glulam Material</vt:lpstr>
      <vt:lpstr>Lists </vt:lpstr>
      <vt:lpstr>Steel</vt:lpstr>
    </vt:vector>
  </TitlesOfParts>
  <Company>Carleton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 Akinbami</dc:creator>
  <cp:lastModifiedBy>Jeffrey Erochko</cp:lastModifiedBy>
  <cp:lastPrinted>2014-04-01T03:12:35Z</cp:lastPrinted>
  <dcterms:created xsi:type="dcterms:W3CDTF">2014-03-26T15:24:17Z</dcterms:created>
  <dcterms:modified xsi:type="dcterms:W3CDTF">2014-04-25T15:16:21Z</dcterms:modified>
</cp:coreProperties>
</file>