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ff\Carleton\Teaching\CIVE4202 - Wood Engineering\2014\Term Project\Submissions\Posted Submissions\"/>
    </mc:Choice>
  </mc:AlternateContent>
  <bookViews>
    <workbookView xWindow="0" yWindow="0" windowWidth="25605" windowHeight="14595" tabRatio="500"/>
  </bookViews>
  <sheets>
    <sheet name="Design" sheetId="1" r:id="rId1"/>
    <sheet name="O86-09 Tables " sheetId="3" r:id="rId2"/>
    <sheet name="Dropdown List" sheetId="2" r:id="rId3"/>
  </sheets>
  <definedNames>
    <definedName name="DFLA">'O86-09 Tables '!$B$4:$E$8</definedName>
    <definedName name="DFLB">'O86-09 Tables '!$J$4:$M$5</definedName>
    <definedName name="DFLC">'O86-09 Tables '!$R$4:$U$6</definedName>
    <definedName name="DFLD">'O86-09 Tables '!$Z$4:$AC$6</definedName>
    <definedName name="HFA">'O86-09 Tables '!$B$10:$E$14</definedName>
    <definedName name="HFB">'O86-09 Tables '!$J$10:$M$11</definedName>
    <definedName name="HFC">'O86-09 Tables '!$R$10:$U$12</definedName>
    <definedName name="HFD">'O86-09 Tables '!$Z$10:$AC$12</definedName>
    <definedName name="Kztable">'O86-09 Tables '!$A$38:$D$53</definedName>
    <definedName name="NA">'O86-09 Tables '!$B$22:$E$26</definedName>
    <definedName name="NB">'O86-09 Tables '!$J$22:$M$23</definedName>
    <definedName name="NC">'O86-09 Tables '!$R$22:$U$24</definedName>
    <definedName name="ND">'O86-09 Tables '!$Z$22:$AC$24</definedName>
    <definedName name="SPFA">'O86-09 Tables '!$B$16:$E$20</definedName>
    <definedName name="SPFB">'O86-09 Tables '!$J$16:$M$17</definedName>
    <definedName name="SPFC">'O86-09 Tables '!$R$16:$U$18</definedName>
    <definedName name="SPFD">'O86-09 Tables '!$Z$16:$AC$18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F3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F38" i="1" s="1"/>
  <c r="C48" i="1"/>
  <c r="C47" i="1"/>
  <c r="C46" i="1"/>
  <c r="C45" i="1"/>
  <c r="F39" i="1" s="1"/>
  <c r="A84" i="1"/>
  <c r="K84" i="1" s="1"/>
  <c r="I35" i="1"/>
  <c r="I41" i="1"/>
  <c r="I39" i="1"/>
  <c r="I31" i="1" s="1"/>
  <c r="Q72" i="1"/>
  <c r="S72" i="1"/>
  <c r="G84" i="1" s="1"/>
  <c r="F18" i="1"/>
  <c r="T72" i="1"/>
  <c r="F20" i="1"/>
  <c r="D84" i="1"/>
  <c r="J84" i="1"/>
  <c r="A85" i="1"/>
  <c r="K85" i="1"/>
  <c r="Q73" i="1"/>
  <c r="S73" i="1" s="1"/>
  <c r="G85" i="1" s="1"/>
  <c r="T73" i="1"/>
  <c r="D85" i="1"/>
  <c r="J85" i="1"/>
  <c r="A86" i="1"/>
  <c r="K86" i="1" s="1"/>
  <c r="R74" i="1"/>
  <c r="L41" i="1"/>
  <c r="L39" i="1"/>
  <c r="L31" i="1" s="1"/>
  <c r="T74" i="1"/>
  <c r="D86" i="1"/>
  <c r="J51" i="1"/>
  <c r="J54" i="1"/>
  <c r="J53" i="1"/>
  <c r="J55" i="1"/>
  <c r="A87" i="1"/>
  <c r="M54" i="1"/>
  <c r="M53" i="1"/>
  <c r="M55" i="1"/>
  <c r="V75" i="1"/>
  <c r="F21" i="1"/>
  <c r="J87" i="1"/>
  <c r="A88" i="1"/>
  <c r="Q76" i="1"/>
  <c r="R76" i="1"/>
  <c r="S76" i="1"/>
  <c r="G88" i="1" s="1"/>
  <c r="T76" i="1"/>
  <c r="V76" i="1"/>
  <c r="L120" i="1"/>
  <c r="N120" i="1" s="1"/>
  <c r="O120" i="1" s="1"/>
  <c r="P120" i="1"/>
  <c r="D88" i="1"/>
  <c r="J88" i="1"/>
  <c r="A89" i="1"/>
  <c r="L54" i="1"/>
  <c r="L53" i="1"/>
  <c r="L55" i="1" s="1"/>
  <c r="K41" i="1"/>
  <c r="K39" i="1"/>
  <c r="K31" i="1" s="1"/>
  <c r="D89" i="1"/>
  <c r="A90" i="1"/>
  <c r="Q78" i="1"/>
  <c r="S78" i="1" s="1"/>
  <c r="G90" i="1" s="1"/>
  <c r="R78" i="1"/>
  <c r="W78" i="1"/>
  <c r="T78" i="1"/>
  <c r="V78" i="1"/>
  <c r="L122" i="1"/>
  <c r="N122" i="1" s="1"/>
  <c r="O122" i="1"/>
  <c r="P122" i="1" s="1"/>
  <c r="D90" i="1"/>
  <c r="J90" i="1"/>
  <c r="A91" i="1"/>
  <c r="A92" i="1"/>
  <c r="Q80" i="1" s="1"/>
  <c r="S80" i="1" s="1"/>
  <c r="G92" i="1" s="1"/>
  <c r="T80" i="1"/>
  <c r="L124" i="1"/>
  <c r="N124" i="1" s="1"/>
  <c r="O124" i="1" s="1"/>
  <c r="P124" i="1" s="1"/>
  <c r="J92" i="1"/>
  <c r="A93" i="1"/>
  <c r="Q81" i="1"/>
  <c r="R81" i="1"/>
  <c r="S81" i="1"/>
  <c r="G93" i="1" s="1"/>
  <c r="X81" i="1"/>
  <c r="H93" i="1" s="1"/>
  <c r="T81" i="1"/>
  <c r="V81" i="1"/>
  <c r="L125" i="1"/>
  <c r="N125" i="1" s="1"/>
  <c r="O125" i="1" s="1"/>
  <c r="P125" i="1" s="1"/>
  <c r="D93" i="1"/>
  <c r="J93" i="1"/>
  <c r="A83" i="1"/>
  <c r="S71" i="1" s="1"/>
  <c r="G83" i="1" s="1"/>
  <c r="Y71" i="1" s="1"/>
  <c r="I83" i="1" s="1"/>
  <c r="N83" i="1" s="1"/>
  <c r="K83" i="1"/>
  <c r="Q71" i="1"/>
  <c r="T71" i="1"/>
  <c r="D83" i="1"/>
  <c r="J83" i="1"/>
  <c r="L117" i="1"/>
  <c r="N117" i="1"/>
  <c r="O117" i="1"/>
  <c r="P117" i="1" s="1"/>
  <c r="V73" i="1"/>
  <c r="L118" i="1"/>
  <c r="N118" i="1"/>
  <c r="O118" i="1" s="1"/>
  <c r="P118" i="1" s="1"/>
  <c r="V74" i="1"/>
  <c r="M125" i="1"/>
  <c r="M117" i="1"/>
  <c r="M118" i="1"/>
  <c r="M119" i="1"/>
  <c r="M120" i="1"/>
  <c r="M121" i="1"/>
  <c r="M122" i="1"/>
  <c r="M123" i="1"/>
  <c r="M124" i="1"/>
  <c r="L116" i="1"/>
  <c r="N116" i="1" s="1"/>
  <c r="O116" i="1" s="1"/>
  <c r="P116" i="1" s="1"/>
  <c r="V72" i="1"/>
  <c r="M116" i="1"/>
  <c r="L115" i="1"/>
  <c r="N115" i="1"/>
  <c r="O115" i="1" s="1"/>
  <c r="P115" i="1" s="1"/>
  <c r="T115" i="1" s="1"/>
  <c r="V71" i="1"/>
  <c r="M115" i="1"/>
  <c r="G18" i="1"/>
  <c r="H18" i="1"/>
  <c r="G19" i="1"/>
  <c r="F16" i="1" s="1"/>
  <c r="F26" i="1"/>
  <c r="C21" i="1"/>
  <c r="D42" i="1"/>
  <c r="D41" i="1"/>
  <c r="J44" i="1"/>
  <c r="J47" i="1"/>
  <c r="J46" i="1"/>
  <c r="J48" i="1" s="1"/>
  <c r="Y72" i="1" s="1"/>
  <c r="I84" i="1" s="1"/>
  <c r="N84" i="1" s="1"/>
  <c r="U72" i="1"/>
  <c r="C84" i="1"/>
  <c r="U73" i="1"/>
  <c r="C85" i="1"/>
  <c r="M47" i="1"/>
  <c r="M46" i="1"/>
  <c r="M48" i="1"/>
  <c r="U74" i="1"/>
  <c r="C86" i="1"/>
  <c r="U76" i="1"/>
  <c r="C88" i="1"/>
  <c r="L47" i="1"/>
  <c r="L46" i="1"/>
  <c r="L48" i="1" s="1"/>
  <c r="U77" i="1"/>
  <c r="Y78" i="1"/>
  <c r="I90" i="1" s="1"/>
  <c r="N90" i="1" s="1"/>
  <c r="U78" i="1"/>
  <c r="C90" i="1"/>
  <c r="C91" i="1"/>
  <c r="U80" i="1"/>
  <c r="C92" i="1"/>
  <c r="U81" i="1"/>
  <c r="C93" i="1"/>
  <c r="U71" i="1"/>
  <c r="C83" i="1"/>
  <c r="E84" i="1"/>
  <c r="E85" i="1"/>
  <c r="E86" i="1"/>
  <c r="E88" i="1"/>
  <c r="E90" i="1"/>
  <c r="E92" i="1"/>
  <c r="E93" i="1"/>
  <c r="E83" i="1"/>
  <c r="R73" i="1"/>
  <c r="R72" i="1"/>
  <c r="R71" i="1"/>
  <c r="G63" i="1"/>
  <c r="I63" i="1" s="1"/>
  <c r="B70" i="1" s="1"/>
  <c r="B71" i="1" s="1"/>
  <c r="G64" i="1"/>
  <c r="C19" i="1"/>
  <c r="E74" i="1"/>
  <c r="F25" i="1"/>
  <c r="E73" i="1" s="1"/>
  <c r="F27" i="1"/>
  <c r="E72" i="1" s="1"/>
  <c r="F19" i="1"/>
  <c r="C20" i="1"/>
  <c r="E70" i="1"/>
  <c r="E69" i="1"/>
  <c r="F24" i="1"/>
  <c r="K44" i="1"/>
  <c r="L44" i="1"/>
  <c r="J45" i="1"/>
  <c r="K45" i="1"/>
  <c r="L45" i="1"/>
  <c r="D48" i="1"/>
  <c r="D51" i="1"/>
  <c r="D59" i="1"/>
  <c r="D62" i="1"/>
  <c r="D65" i="1"/>
  <c r="D54" i="1"/>
  <c r="D57" i="1"/>
  <c r="D58" i="1"/>
  <c r="D60" i="1"/>
  <c r="D61" i="1"/>
  <c r="D63" i="1"/>
  <c r="D64" i="1"/>
  <c r="D66" i="1"/>
  <c r="D46" i="1"/>
  <c r="D47" i="1"/>
  <c r="D49" i="1"/>
  <c r="D50" i="1"/>
  <c r="G38" i="1" s="1"/>
  <c r="D53" i="1"/>
  <c r="D56" i="1"/>
  <c r="D52" i="1"/>
  <c r="D55" i="1"/>
  <c r="D45" i="1"/>
  <c r="G39" i="1"/>
  <c r="L52" i="1"/>
  <c r="L51" i="1"/>
  <c r="K37" i="1"/>
  <c r="K35" i="1"/>
  <c r="M52" i="1"/>
  <c r="M51" i="1"/>
  <c r="K52" i="1"/>
  <c r="K53" i="1"/>
  <c r="K55" i="1" s="1"/>
  <c r="K51" i="1"/>
  <c r="K54" i="1"/>
  <c r="J52" i="1"/>
  <c r="M45" i="1"/>
  <c r="M44" i="1"/>
  <c r="K46" i="1"/>
  <c r="K47" i="1"/>
  <c r="K48" i="1"/>
  <c r="J37" i="1"/>
  <c r="J39" i="1"/>
  <c r="J35" i="1"/>
  <c r="J41" i="1"/>
  <c r="J31" i="1"/>
  <c r="I37" i="1"/>
  <c r="L37" i="1"/>
  <c r="L35" i="1"/>
  <c r="W80" i="1" l="1"/>
  <c r="Y80" i="1"/>
  <c r="I92" i="1" s="1"/>
  <c r="N92" i="1" s="1"/>
  <c r="X80" i="1"/>
  <c r="H92" i="1" s="1"/>
  <c r="Q79" i="1"/>
  <c r="V79" i="1"/>
  <c r="R79" i="1"/>
  <c r="D91" i="1"/>
  <c r="U79" i="1"/>
  <c r="S79" i="1"/>
  <c r="G91" i="1" s="1"/>
  <c r="T79" i="1"/>
  <c r="L123" i="1"/>
  <c r="N123" i="1" s="1"/>
  <c r="O123" i="1" s="1"/>
  <c r="P123" i="1" s="1"/>
  <c r="J91" i="1"/>
  <c r="E91" i="1"/>
  <c r="Q122" i="1"/>
  <c r="S122" i="1"/>
  <c r="W71" i="1"/>
  <c r="X71" i="1"/>
  <c r="H83" i="1" s="1"/>
  <c r="O83" i="1" s="1"/>
  <c r="W81" i="1"/>
  <c r="Y81" i="1"/>
  <c r="I93" i="1" s="1"/>
  <c r="N93" i="1" s="1"/>
  <c r="T122" i="1"/>
  <c r="K90" i="1" s="1"/>
  <c r="R122" i="1"/>
  <c r="F90" i="1"/>
  <c r="L90" i="1" s="1"/>
  <c r="X78" i="1"/>
  <c r="H90" i="1" s="1"/>
  <c r="Q77" i="1"/>
  <c r="S77" i="1" s="1"/>
  <c r="G89" i="1" s="1"/>
  <c r="T77" i="1"/>
  <c r="L121" i="1"/>
  <c r="N121" i="1" s="1"/>
  <c r="O121" i="1" s="1"/>
  <c r="P121" i="1" s="1"/>
  <c r="J89" i="1"/>
  <c r="E89" i="1"/>
  <c r="R77" i="1"/>
  <c r="C89" i="1"/>
  <c r="V77" i="1"/>
  <c r="Q75" i="1"/>
  <c r="S75" i="1" s="1"/>
  <c r="G87" i="1" s="1"/>
  <c r="C87" i="1"/>
  <c r="R75" i="1"/>
  <c r="T75" i="1"/>
  <c r="L119" i="1"/>
  <c r="N119" i="1" s="1"/>
  <c r="O119" i="1" s="1"/>
  <c r="P119" i="1" s="1"/>
  <c r="D87" i="1"/>
  <c r="U75" i="1"/>
  <c r="E87" i="1"/>
  <c r="Y73" i="1"/>
  <c r="I85" i="1" s="1"/>
  <c r="N85" i="1" s="1"/>
  <c r="W73" i="1"/>
  <c r="X73" i="1"/>
  <c r="H85" i="1" s="1"/>
  <c r="O85" i="1" s="1"/>
  <c r="W72" i="1"/>
  <c r="X72" i="1"/>
  <c r="H84" i="1" s="1"/>
  <c r="O84" i="1" s="1"/>
  <c r="W76" i="1"/>
  <c r="Y76" i="1"/>
  <c r="I88" i="1" s="1"/>
  <c r="N88" i="1" s="1"/>
  <c r="M90" i="1"/>
  <c r="F28" i="1"/>
  <c r="F23" i="1"/>
  <c r="F17" i="1"/>
  <c r="T116" i="1"/>
  <c r="X76" i="1"/>
  <c r="H88" i="1" s="1"/>
  <c r="D92" i="1"/>
  <c r="R80" i="1"/>
  <c r="Q74" i="1"/>
  <c r="S74" i="1" s="1"/>
  <c r="V80" i="1"/>
  <c r="F92" i="1" s="1"/>
  <c r="L92" i="1" s="1"/>
  <c r="J86" i="1"/>
  <c r="G86" i="1"/>
  <c r="Y77" i="1" l="1"/>
  <c r="I89" i="1" s="1"/>
  <c r="N89" i="1" s="1"/>
  <c r="X77" i="1"/>
  <c r="H89" i="1" s="1"/>
  <c r="W77" i="1"/>
  <c r="X75" i="1"/>
  <c r="H87" i="1" s="1"/>
  <c r="Y75" i="1"/>
  <c r="I87" i="1" s="1"/>
  <c r="N87" i="1" s="1"/>
  <c r="W75" i="1"/>
  <c r="W79" i="1"/>
  <c r="Y79" i="1"/>
  <c r="I91" i="1" s="1"/>
  <c r="N91" i="1" s="1"/>
  <c r="X79" i="1"/>
  <c r="H91" i="1" s="1"/>
  <c r="Y74" i="1"/>
  <c r="I86" i="1" s="1"/>
  <c r="N86" i="1" s="1"/>
  <c r="X74" i="1"/>
  <c r="H86" i="1" s="1"/>
  <c r="O86" i="1" s="1"/>
  <c r="W74" i="1"/>
  <c r="F88" i="1"/>
  <c r="S120" i="1"/>
  <c r="Q120" i="1"/>
  <c r="S117" i="1"/>
  <c r="Q117" i="1"/>
  <c r="F85" i="1"/>
  <c r="O90" i="1"/>
  <c r="S125" i="1"/>
  <c r="F93" i="1"/>
  <c r="Q125" i="1"/>
  <c r="M92" i="1"/>
  <c r="F91" i="1"/>
  <c r="L91" i="1" s="1"/>
  <c r="K78" i="1"/>
  <c r="C22" i="1"/>
  <c r="F89" i="1"/>
  <c r="L89" i="1" s="1"/>
  <c r="Q124" i="1"/>
  <c r="S124" i="1"/>
  <c r="C78" i="1"/>
  <c r="F78" i="1" s="1"/>
  <c r="B79" i="1"/>
  <c r="B78" i="1"/>
  <c r="B77" i="1"/>
  <c r="C79" i="1"/>
  <c r="F79" i="1" s="1"/>
  <c r="C77" i="1"/>
  <c r="K77" i="1" s="1"/>
  <c r="E78" i="1"/>
  <c r="H78" i="1" s="1"/>
  <c r="F34" i="1" s="1"/>
  <c r="E77" i="1"/>
  <c r="H77" i="1" s="1"/>
  <c r="F35" i="1" s="1"/>
  <c r="E79" i="1"/>
  <c r="H79" i="1" s="1"/>
  <c r="F33" i="1" s="1"/>
  <c r="F84" i="1"/>
  <c r="S116" i="1"/>
  <c r="Q116" i="1"/>
  <c r="R116" i="1" s="1"/>
  <c r="S115" i="1"/>
  <c r="Q115" i="1"/>
  <c r="R115" i="1" s="1"/>
  <c r="F83" i="1"/>
  <c r="J79" i="1" l="1"/>
  <c r="G78" i="1"/>
  <c r="J78" i="1"/>
  <c r="C41" i="1"/>
  <c r="E41" i="1" s="1"/>
  <c r="C42" i="1"/>
  <c r="E42" i="1" s="1"/>
  <c r="R125" i="1"/>
  <c r="T125" i="1"/>
  <c r="K93" i="1" s="1"/>
  <c r="O93" i="1" s="1"/>
  <c r="L85" i="1"/>
  <c r="M85" i="1"/>
  <c r="H52" i="1"/>
  <c r="M91" i="1"/>
  <c r="K79" i="1"/>
  <c r="G79" i="1" s="1"/>
  <c r="H56" i="1" s="1"/>
  <c r="F77" i="1"/>
  <c r="L93" i="1"/>
  <c r="M93" i="1"/>
  <c r="R117" i="1"/>
  <c r="T117" i="1"/>
  <c r="L88" i="1"/>
  <c r="M88" i="1"/>
  <c r="Q123" i="1"/>
  <c r="S123" i="1"/>
  <c r="S121" i="1"/>
  <c r="Q121" i="1"/>
  <c r="L83" i="1"/>
  <c r="M83" i="1"/>
  <c r="L84" i="1"/>
  <c r="M84" i="1"/>
  <c r="T124" i="1"/>
  <c r="K92" i="1" s="1"/>
  <c r="O92" i="1" s="1"/>
  <c r="R124" i="1"/>
  <c r="Q118" i="1"/>
  <c r="S118" i="1"/>
  <c r="F86" i="1"/>
  <c r="M89" i="1"/>
  <c r="Q119" i="1"/>
  <c r="S119" i="1"/>
  <c r="F87" i="1"/>
  <c r="R120" i="1"/>
  <c r="T120" i="1"/>
  <c r="K88" i="1" s="1"/>
  <c r="O88" i="1" s="1"/>
  <c r="L86" i="1" l="1"/>
  <c r="M86" i="1"/>
  <c r="T123" i="1"/>
  <c r="K91" i="1" s="1"/>
  <c r="O91" i="1" s="1"/>
  <c r="R123" i="1"/>
  <c r="R121" i="1"/>
  <c r="T121" i="1"/>
  <c r="K89" i="1" s="1"/>
  <c r="O89" i="1" s="1"/>
  <c r="J77" i="1"/>
  <c r="G77" i="1" s="1"/>
  <c r="L87" i="1"/>
  <c r="M87" i="1"/>
  <c r="R119" i="1"/>
  <c r="T119" i="1"/>
  <c r="K87" i="1" s="1"/>
  <c r="O87" i="1" s="1"/>
  <c r="R118" i="1"/>
  <c r="T118" i="1"/>
  <c r="H43" i="1" l="1"/>
  <c r="F22" i="1" s="1"/>
  <c r="H47" i="1"/>
  <c r="E71" i="1" l="1"/>
  <c r="G33" i="1"/>
  <c r="G45" i="1"/>
  <c r="G35" i="1" s="1"/>
  <c r="G54" i="1"/>
  <c r="I77" i="1"/>
  <c r="I78" i="1"/>
  <c r="G34" i="1"/>
  <c r="I79" i="1"/>
  <c r="G50" i="1"/>
  <c r="H45" i="1"/>
  <c r="H54" i="1"/>
  <c r="H50" i="1"/>
</calcChain>
</file>

<file path=xl/sharedStrings.xml><?xml version="1.0" encoding="utf-8"?>
<sst xmlns="http://schemas.openxmlformats.org/spreadsheetml/2006/main" count="408" uniqueCount="322">
  <si>
    <t xml:space="preserve">U Cheng Vong, Carleton University, Ottawa, Ontario, Canada </t>
    <phoneticPr fontId="2" type="noConversion"/>
  </si>
  <si>
    <t>April , 2014</t>
    <phoneticPr fontId="2" type="noConversion"/>
  </si>
  <si>
    <t xml:space="preserve">Canadian Standards Association (CSA) (2010) O86-09 Engineering design in wood with Update No.1. </t>
  </si>
  <si>
    <t>Mississauga, ON: Canadian Standards Association.</t>
  </si>
  <si>
    <t xml:space="preserve">INPUTS </t>
    <phoneticPr fontId="2" type="noConversion"/>
  </si>
  <si>
    <t>MATERIALS</t>
    <phoneticPr fontId="2" type="noConversion"/>
  </si>
  <si>
    <t>Species</t>
    <phoneticPr fontId="2" type="noConversion"/>
  </si>
  <si>
    <t xml:space="preserve">Grade </t>
    <phoneticPr fontId="2" type="noConversion"/>
  </si>
  <si>
    <t xml:space="preserve">System Effect </t>
    <phoneticPr fontId="2" type="noConversion"/>
  </si>
  <si>
    <t xml:space="preserve">Service Condition </t>
    <phoneticPr fontId="2" type="noConversion"/>
  </si>
  <si>
    <t xml:space="preserve">Treatment </t>
    <phoneticPr fontId="2" type="noConversion"/>
  </si>
  <si>
    <t xml:space="preserve">Species </t>
    <phoneticPr fontId="2" type="noConversion"/>
  </si>
  <si>
    <t xml:space="preserve">Grade </t>
    <phoneticPr fontId="2" type="noConversion"/>
  </si>
  <si>
    <t>Hem-Fir</t>
    <phoneticPr fontId="2" type="noConversion"/>
  </si>
  <si>
    <t>S-P-F</t>
    <phoneticPr fontId="2" type="noConversion"/>
  </si>
  <si>
    <t>No.1</t>
  </si>
  <si>
    <t>No.1</t>
    <phoneticPr fontId="2" type="noConversion"/>
  </si>
  <si>
    <t>No.2</t>
  </si>
  <si>
    <t>No.2</t>
    <phoneticPr fontId="2" type="noConversion"/>
  </si>
  <si>
    <t>No.3</t>
  </si>
  <si>
    <t>No.3</t>
    <phoneticPr fontId="2" type="noConversion"/>
  </si>
  <si>
    <t>Stud</t>
  </si>
  <si>
    <t>Stud</t>
    <phoneticPr fontId="2" type="noConversion"/>
  </si>
  <si>
    <t xml:space="preserve">Servicee Condition </t>
    <phoneticPr fontId="2" type="noConversion"/>
  </si>
  <si>
    <t xml:space="preserve">Treatment </t>
    <phoneticPr fontId="2" type="noConversion"/>
  </si>
  <si>
    <t xml:space="preserve">Untreated </t>
    <phoneticPr fontId="2" type="noConversion"/>
  </si>
  <si>
    <t xml:space="preserve">Fire Retardant treated </t>
    <phoneticPr fontId="2" type="noConversion"/>
  </si>
  <si>
    <t xml:space="preserve">System Factor </t>
    <phoneticPr fontId="2" type="noConversion"/>
  </si>
  <si>
    <t>No mutual support</t>
    <phoneticPr fontId="2" type="noConversion"/>
  </si>
  <si>
    <t xml:space="preserve">3 or more in mutual support &lt;610 mm apart </t>
    <phoneticPr fontId="2" type="noConversion"/>
  </si>
  <si>
    <t xml:space="preserve">LOADS (+ Downward, - Upward) </t>
    <phoneticPr fontId="2" type="noConversion"/>
  </si>
  <si>
    <t>mm</t>
    <phoneticPr fontId="2" type="noConversion"/>
  </si>
  <si>
    <t>mm</t>
    <phoneticPr fontId="2" type="noConversion"/>
  </si>
  <si>
    <t xml:space="preserve">m </t>
    <phoneticPr fontId="2" type="noConversion"/>
  </si>
  <si>
    <t>Dead (D)</t>
    <phoneticPr fontId="2" type="noConversion"/>
  </si>
  <si>
    <t xml:space="preserve">Live (L) </t>
    <phoneticPr fontId="2" type="noConversion"/>
  </si>
  <si>
    <t xml:space="preserve">Snow (S) </t>
    <phoneticPr fontId="2" type="noConversion"/>
  </si>
  <si>
    <t xml:space="preserve">Wind (W) </t>
    <phoneticPr fontId="2" type="noConversion"/>
  </si>
  <si>
    <t xml:space="preserve">Earthquake (E) </t>
    <phoneticPr fontId="2" type="noConversion"/>
  </si>
  <si>
    <t xml:space="preserve">Load Combinations (ULS) </t>
    <phoneticPr fontId="2" type="noConversion"/>
  </si>
  <si>
    <t>1.4D</t>
  </si>
  <si>
    <t>2a</t>
  </si>
  <si>
    <t>1.25D + 1.5L</t>
  </si>
  <si>
    <t>2b</t>
  </si>
  <si>
    <t>1.25D + 1.5L + 0.5S</t>
  </si>
  <si>
    <t>2c</t>
  </si>
  <si>
    <t>1.25D + 1.5L + 0.4W</t>
  </si>
  <si>
    <t>2d</t>
  </si>
  <si>
    <t>0.9D + 1.5L</t>
  </si>
  <si>
    <t>2e</t>
  </si>
  <si>
    <t>0.9D + 1.5L + 0.5S</t>
  </si>
  <si>
    <t>2f</t>
  </si>
  <si>
    <t>0.9D + 1.5L + 0.4W</t>
  </si>
  <si>
    <t>3a</t>
  </si>
  <si>
    <t>1.25D + 1.5S</t>
  </si>
  <si>
    <t>3b</t>
  </si>
  <si>
    <t>1.25D + 1.5S + 0.5L</t>
  </si>
  <si>
    <t>3c</t>
  </si>
  <si>
    <t>1.25D + 1.5S + 0.4W</t>
  </si>
  <si>
    <t>3d</t>
  </si>
  <si>
    <t>0.9D + 1.5S</t>
  </si>
  <si>
    <t>3e</t>
  </si>
  <si>
    <t>0.9D + 1.5S + 0.5L</t>
  </si>
  <si>
    <t>3f</t>
  </si>
  <si>
    <t>0.9D + 1.5S + 0.4W</t>
  </si>
  <si>
    <t>4a</t>
  </si>
  <si>
    <t>1.25D + 1.4W</t>
  </si>
  <si>
    <t>4b</t>
  </si>
  <si>
    <t>1.25D + 1.4W + 0.5L</t>
  </si>
  <si>
    <t>4c</t>
  </si>
  <si>
    <t>1.25D + 1.4W + 0.5S</t>
  </si>
  <si>
    <t>4d</t>
  </si>
  <si>
    <t>0.9D + 1.4W</t>
  </si>
  <si>
    <t>4e</t>
  </si>
  <si>
    <t>0.9D + 1.4W + 0.5L</t>
  </si>
  <si>
    <t>4f</t>
  </si>
  <si>
    <t>0.9D + 1.4W + 0.5S</t>
  </si>
  <si>
    <t>5a</t>
  </si>
  <si>
    <t>1.0D + 1.0E</t>
  </si>
  <si>
    <t>5b</t>
  </si>
  <si>
    <t>1.0D + 1.0E + 0.5L</t>
  </si>
  <si>
    <t>5c</t>
  </si>
  <si>
    <t>1.0D + 1.0E + 0.25S</t>
  </si>
  <si>
    <t>kN/m</t>
  </si>
  <si>
    <t>kN/m</t>
    <phoneticPr fontId="2" type="noConversion"/>
  </si>
  <si>
    <t>Design of Lumber beam with uniform distributed load, simply supported, based on CAN/CSA-O86-09</t>
    <phoneticPr fontId="2" type="noConversion"/>
  </si>
  <si>
    <t>E</t>
    <phoneticPr fontId="2" type="noConversion"/>
  </si>
  <si>
    <t xml:space="preserve">GEOMETRY </t>
    <phoneticPr fontId="2" type="noConversion"/>
  </si>
  <si>
    <t xml:space="preserve">Width, b = </t>
    <phoneticPr fontId="2" type="noConversion"/>
  </si>
  <si>
    <t xml:space="preserve">Depth, d = </t>
    <phoneticPr fontId="2" type="noConversion"/>
  </si>
  <si>
    <t xml:space="preserve">Length, L = </t>
    <phoneticPr fontId="2" type="noConversion"/>
  </si>
  <si>
    <t>Section Modulus, S=</t>
    <phoneticPr fontId="2" type="noConversion"/>
  </si>
  <si>
    <t>Category =</t>
    <phoneticPr fontId="2" type="noConversion"/>
  </si>
  <si>
    <t>Ksb</t>
    <phoneticPr fontId="2" type="noConversion"/>
  </si>
  <si>
    <t>kL</t>
    <phoneticPr fontId="2" type="noConversion"/>
  </si>
  <si>
    <t>fv</t>
    <phoneticPr fontId="2" type="noConversion"/>
  </si>
  <si>
    <t>fb</t>
    <phoneticPr fontId="2" type="noConversion"/>
  </si>
  <si>
    <t>Table 5.3.1A - Structural joist and plank, structural light framing, and stud [Mpa]</t>
    <phoneticPr fontId="2" type="noConversion"/>
  </si>
  <si>
    <t xml:space="preserve">D Fir-L </t>
    <phoneticPr fontId="2" type="noConversion"/>
  </si>
  <si>
    <t>SS</t>
    <phoneticPr fontId="2" type="noConversion"/>
  </si>
  <si>
    <t xml:space="preserve">Hem-Fir </t>
    <phoneticPr fontId="2" type="noConversion"/>
  </si>
  <si>
    <t>SS</t>
    <phoneticPr fontId="2" type="noConversion"/>
  </si>
  <si>
    <t>S-P-F</t>
    <phoneticPr fontId="2" type="noConversion"/>
  </si>
  <si>
    <t>Northern</t>
    <phoneticPr fontId="2" type="noConversion"/>
  </si>
  <si>
    <t>Table 5.3.1B -Light framing [Mpa]</t>
    <phoneticPr fontId="2" type="noConversion"/>
  </si>
  <si>
    <t>Table 5.3.1C -Light framing [Mpa]</t>
    <phoneticPr fontId="2" type="noConversion"/>
  </si>
  <si>
    <t>SS</t>
    <phoneticPr fontId="2" type="noConversion"/>
  </si>
  <si>
    <t>No.1</t>
    <phoneticPr fontId="2" type="noConversion"/>
  </si>
  <si>
    <t>No.2</t>
    <phoneticPr fontId="2" type="noConversion"/>
  </si>
  <si>
    <t>Table 5.3.1D - Post and timber [Mpa]</t>
    <phoneticPr fontId="2" type="noConversion"/>
  </si>
  <si>
    <t>Table 5.4.2 - Service condition factors, Ks</t>
    <phoneticPr fontId="2" type="noConversion"/>
  </si>
  <si>
    <t>Ks</t>
    <phoneticPr fontId="2" type="noConversion"/>
  </si>
  <si>
    <t xml:space="preserve">Property </t>
    <phoneticPr fontId="2" type="noConversion"/>
  </si>
  <si>
    <t xml:space="preserve">Dry </t>
    <phoneticPr fontId="2" type="noConversion"/>
  </si>
  <si>
    <t xml:space="preserve">Wet </t>
    <phoneticPr fontId="2" type="noConversion"/>
  </si>
  <si>
    <t>least dim &gt;89mm</t>
    <phoneticPr fontId="2" type="noConversion"/>
  </si>
  <si>
    <t>least dim ≤89mm</t>
    <phoneticPr fontId="2" type="noConversion"/>
  </si>
  <si>
    <t>Ksv</t>
    <phoneticPr fontId="2" type="noConversion"/>
  </si>
  <si>
    <t xml:space="preserve">Bending </t>
    <phoneticPr fontId="2" type="noConversion"/>
  </si>
  <si>
    <t>Longitudinal Shear</t>
    <phoneticPr fontId="2" type="noConversion"/>
  </si>
  <si>
    <t>Larger Dimension [mm]</t>
    <phoneticPr fontId="2" type="noConversion"/>
  </si>
  <si>
    <t>Table 5.4.5 - Size factor, Kz, for visually stress - graded lumber</t>
    <phoneticPr fontId="2" type="noConversion"/>
  </si>
  <si>
    <t>Smaller Dimension [mm]</t>
    <phoneticPr fontId="2" type="noConversion"/>
  </si>
  <si>
    <t>38 to 64</t>
    <phoneticPr fontId="2" type="noConversion"/>
  </si>
  <si>
    <t>89 to 102</t>
    <phoneticPr fontId="2" type="noConversion"/>
  </si>
  <si>
    <t>114 or more</t>
    <phoneticPr fontId="2" type="noConversion"/>
  </si>
  <si>
    <t xml:space="preserve">Unsupported Length, Lu = </t>
    <phoneticPr fontId="2" type="noConversion"/>
  </si>
  <si>
    <t>kD</t>
    <phoneticPr fontId="2" type="noConversion"/>
  </si>
  <si>
    <t xml:space="preserve">INTERMEDIATE CALCULATION </t>
    <phoneticPr fontId="2" type="noConversion"/>
  </si>
  <si>
    <t>Lateral Stability Factor, kL</t>
    <phoneticPr fontId="2" type="noConversion"/>
  </si>
  <si>
    <t xml:space="preserve">Le [mm] = </t>
    <phoneticPr fontId="2" type="noConversion"/>
  </si>
  <si>
    <t xml:space="preserve">CB = </t>
    <phoneticPr fontId="2" type="noConversion"/>
  </si>
  <si>
    <t>Kse</t>
    <phoneticPr fontId="2" type="noConversion"/>
  </si>
  <si>
    <t xml:space="preserve">Modulus of elasticity </t>
    <phoneticPr fontId="2" type="noConversion"/>
  </si>
  <si>
    <t xml:space="preserve">Kx = </t>
    <phoneticPr fontId="2" type="noConversion"/>
  </si>
  <si>
    <t>kH =</t>
    <phoneticPr fontId="2" type="noConversion"/>
  </si>
  <si>
    <t>Ksb =</t>
    <phoneticPr fontId="2" type="noConversion"/>
  </si>
  <si>
    <t xml:space="preserve">ksv = </t>
    <phoneticPr fontId="2" type="noConversion"/>
  </si>
  <si>
    <t xml:space="preserve">kzv = </t>
    <phoneticPr fontId="2" type="noConversion"/>
  </si>
  <si>
    <t xml:space="preserve">kse = </t>
    <phoneticPr fontId="2" type="noConversion"/>
  </si>
  <si>
    <t>Fv = fv*kD*kH*ksv*kT</t>
    <phoneticPr fontId="2" type="noConversion"/>
  </si>
  <si>
    <t>Ck</t>
    <phoneticPr fontId="2" type="noConversion"/>
  </si>
  <si>
    <t xml:space="preserve">Factored Shear,Vf (kN) </t>
    <phoneticPr fontId="2" type="noConversion"/>
  </si>
  <si>
    <t>Factored Moment, Mf(kNm)</t>
    <phoneticPr fontId="2" type="noConversion"/>
  </si>
  <si>
    <t>Shear Resistance (kN)</t>
    <phoneticPr fontId="2" type="noConversion"/>
  </si>
  <si>
    <t>Moment Resistance (kNm)</t>
    <phoneticPr fontId="2" type="noConversion"/>
  </si>
  <si>
    <t>Stud</t>
    <phoneticPr fontId="2" type="noConversion"/>
  </si>
  <si>
    <t>Construction</t>
    <phoneticPr fontId="2" type="noConversion"/>
  </si>
  <si>
    <t>Standard</t>
    <phoneticPr fontId="2" type="noConversion"/>
  </si>
  <si>
    <t>E (Load applied to the narrow face)</t>
    <phoneticPr fontId="2" type="noConversion"/>
  </si>
  <si>
    <t>SS</t>
    <phoneticPr fontId="2" type="noConversion"/>
  </si>
  <si>
    <t>select</t>
    <phoneticPr fontId="2" type="noConversion"/>
  </si>
  <si>
    <t xml:space="preserve">Treated unincised </t>
    <phoneticPr fontId="2" type="noConversion"/>
  </si>
  <si>
    <t>kT (other properties)=</t>
    <phoneticPr fontId="2" type="noConversion"/>
  </si>
  <si>
    <t xml:space="preserve">kT (Modulus of elasticity) = </t>
    <phoneticPr fontId="2" type="noConversion"/>
  </si>
  <si>
    <t>Dry Condition</t>
    <phoneticPr fontId="2" type="noConversion"/>
  </si>
  <si>
    <t>Wet Condition</t>
    <phoneticPr fontId="2" type="noConversion"/>
  </si>
  <si>
    <t xml:space="preserve">Treated incised of thickness 89mm or less </t>
    <phoneticPr fontId="2" type="noConversion"/>
  </si>
  <si>
    <r>
      <rPr>
        <sz val="12"/>
        <color theme="1"/>
        <rFont val="Lucida Grande"/>
        <charset val="136"/>
      </rPr>
      <t>ϕ</t>
    </r>
    <r>
      <rPr>
        <sz val="12"/>
        <color theme="1"/>
        <rFont val="Calibri (佈景主題本文)"/>
        <charset val="136"/>
      </rPr>
      <t xml:space="preserve"> =</t>
    </r>
    <phoneticPr fontId="2" type="noConversion"/>
  </si>
  <si>
    <t xml:space="preserve">Short - Term Duration </t>
    <phoneticPr fontId="2" type="noConversion"/>
  </si>
  <si>
    <t>Standard - Term Duration</t>
    <phoneticPr fontId="2" type="noConversion"/>
  </si>
  <si>
    <t xml:space="preserve">Long - Term Duration </t>
    <phoneticPr fontId="2" type="noConversion"/>
  </si>
  <si>
    <t>Factored Moment Resistance (kNm)</t>
    <phoneticPr fontId="2" type="noConversion"/>
  </si>
  <si>
    <t>Factored Shear Resistance (kN)</t>
    <phoneticPr fontId="2" type="noConversion"/>
  </si>
  <si>
    <t>Result</t>
    <phoneticPr fontId="2" type="noConversion"/>
  </si>
  <si>
    <t>Reference</t>
    <phoneticPr fontId="2" type="noConversion"/>
  </si>
  <si>
    <t>No.2</t>
    <phoneticPr fontId="2" type="noConversion"/>
  </si>
  <si>
    <t>No.1</t>
    <phoneticPr fontId="2" type="noConversion"/>
  </si>
  <si>
    <t>DFLA</t>
    <phoneticPr fontId="2" type="noConversion"/>
  </si>
  <si>
    <t>HFA</t>
    <phoneticPr fontId="2" type="noConversion"/>
  </si>
  <si>
    <t>SPFA</t>
    <phoneticPr fontId="2" type="noConversion"/>
  </si>
  <si>
    <t>NA</t>
    <phoneticPr fontId="2" type="noConversion"/>
  </si>
  <si>
    <t>Construction</t>
    <phoneticPr fontId="2" type="noConversion"/>
  </si>
  <si>
    <t>Standard</t>
    <phoneticPr fontId="2" type="noConversion"/>
  </si>
  <si>
    <t>DFLB</t>
    <phoneticPr fontId="2" type="noConversion"/>
  </si>
  <si>
    <t>HFB</t>
    <phoneticPr fontId="2" type="noConversion"/>
  </si>
  <si>
    <t>SPFB</t>
    <phoneticPr fontId="2" type="noConversion"/>
  </si>
  <si>
    <t>NB</t>
    <phoneticPr fontId="2" type="noConversion"/>
  </si>
  <si>
    <t>DFLC</t>
    <phoneticPr fontId="2" type="noConversion"/>
  </si>
  <si>
    <t>HFC</t>
    <phoneticPr fontId="2" type="noConversion"/>
  </si>
  <si>
    <t>SPFC</t>
    <phoneticPr fontId="2" type="noConversion"/>
  </si>
  <si>
    <t>NC</t>
    <phoneticPr fontId="2" type="noConversion"/>
  </si>
  <si>
    <t>ND</t>
    <phoneticPr fontId="2" type="noConversion"/>
  </si>
  <si>
    <t>SPFD</t>
    <phoneticPr fontId="2" type="noConversion"/>
  </si>
  <si>
    <t>HFD</t>
    <phoneticPr fontId="2" type="noConversion"/>
  </si>
  <si>
    <t>DFLD</t>
    <phoneticPr fontId="2" type="noConversion"/>
  </si>
  <si>
    <t xml:space="preserve">Assume it is D Fir-L </t>
    <phoneticPr fontId="2" type="noConversion"/>
  </si>
  <si>
    <t>Assume it is Hem-Fir</t>
    <phoneticPr fontId="2" type="noConversion"/>
  </si>
  <si>
    <t>Assume it is SPF</t>
    <phoneticPr fontId="2" type="noConversion"/>
  </si>
  <si>
    <t>Assume it is Northern</t>
    <phoneticPr fontId="2" type="noConversion"/>
  </si>
  <si>
    <t xml:space="preserve">TABLE A </t>
    <phoneticPr fontId="2" type="noConversion"/>
  </si>
  <si>
    <t>TABLE B</t>
    <phoneticPr fontId="2" type="noConversion"/>
  </si>
  <si>
    <t xml:space="preserve">TABLE C </t>
    <phoneticPr fontId="2" type="noConversion"/>
  </si>
  <si>
    <t xml:space="preserve">Table D </t>
    <phoneticPr fontId="2" type="noConversion"/>
  </si>
  <si>
    <t>Douglas Fir Larch</t>
    <phoneticPr fontId="2" type="noConversion"/>
  </si>
  <si>
    <t>Northern Species</t>
    <phoneticPr fontId="2" type="noConversion"/>
  </si>
  <si>
    <t>Commercial</t>
    <phoneticPr fontId="2" type="noConversion"/>
  </si>
  <si>
    <t>fv Value</t>
    <phoneticPr fontId="2" type="noConversion"/>
  </si>
  <si>
    <t>Assume it is D-Fir-L</t>
    <phoneticPr fontId="2" type="noConversion"/>
  </si>
  <si>
    <t xml:space="preserve">Table A </t>
    <phoneticPr fontId="2" type="noConversion"/>
  </si>
  <si>
    <t>Assume it is Hem-Fir</t>
    <phoneticPr fontId="2" type="noConversion"/>
  </si>
  <si>
    <t>Assume it is SPF</t>
    <phoneticPr fontId="2" type="noConversion"/>
  </si>
  <si>
    <t>Assume it is northern</t>
    <phoneticPr fontId="2" type="noConversion"/>
  </si>
  <si>
    <t>Table B</t>
    <phoneticPr fontId="2" type="noConversion"/>
  </si>
  <si>
    <t xml:space="preserve">Table C </t>
    <phoneticPr fontId="2" type="noConversion"/>
  </si>
  <si>
    <t>Table D</t>
    <phoneticPr fontId="2" type="noConversion"/>
  </si>
  <si>
    <t xml:space="preserve">fb Value </t>
    <phoneticPr fontId="2" type="noConversion"/>
  </si>
  <si>
    <t>E Vallue</t>
    <phoneticPr fontId="2" type="noConversion"/>
  </si>
  <si>
    <t>Fb = fb*kH*kD*Ksb*KT (Other)</t>
    <phoneticPr fontId="2" type="noConversion"/>
  </si>
  <si>
    <t>Fb = fb*kH*kD*Ksb*KT (Modulus of Elasticity)</t>
    <phoneticPr fontId="2" type="noConversion"/>
  </si>
  <si>
    <t xml:space="preserve">kzb = </t>
    <phoneticPr fontId="2" type="noConversion"/>
  </si>
  <si>
    <t xml:space="preserve">fb [MPa]= </t>
    <phoneticPr fontId="2" type="noConversion"/>
  </si>
  <si>
    <t xml:space="preserve">fv[MPa]= </t>
    <phoneticPr fontId="2" type="noConversion"/>
  </si>
  <si>
    <t xml:space="preserve">E [MPa]= </t>
    <phoneticPr fontId="2" type="noConversion"/>
  </si>
  <si>
    <t>KL(caseB)</t>
    <phoneticPr fontId="2" type="noConversion"/>
  </si>
  <si>
    <t>KL (Case C)</t>
    <phoneticPr fontId="2" type="noConversion"/>
  </si>
  <si>
    <t>Clause 5.5.5.1</t>
    <phoneticPr fontId="2" type="noConversion"/>
  </si>
  <si>
    <t>Clause 5.5.4.1</t>
    <phoneticPr fontId="2" type="noConversion"/>
  </si>
  <si>
    <t>Clause 6.5.6.4</t>
    <phoneticPr fontId="2" type="noConversion"/>
  </si>
  <si>
    <t xml:space="preserve">Deflection Due to total load = </t>
    <phoneticPr fontId="2" type="noConversion"/>
  </si>
  <si>
    <t xml:space="preserve">Deflection Due to live load only = </t>
    <phoneticPr fontId="2" type="noConversion"/>
  </si>
  <si>
    <t xml:space="preserve">Moment of Inertia, I = </t>
    <phoneticPr fontId="2" type="noConversion"/>
  </si>
  <si>
    <t xml:space="preserve">Modulus of Elasticity, Es = </t>
    <phoneticPr fontId="2" type="noConversion"/>
  </si>
  <si>
    <t>MPa</t>
    <phoneticPr fontId="2" type="noConversion"/>
  </si>
  <si>
    <t xml:space="preserve">*Straight Beam </t>
    <phoneticPr fontId="2" type="noConversion"/>
  </si>
  <si>
    <t>Limitation [mm]</t>
    <phoneticPr fontId="2" type="noConversion"/>
  </si>
  <si>
    <t xml:space="preserve">Governing Case of </t>
    <phoneticPr fontId="2" type="noConversion"/>
  </si>
  <si>
    <t>Factored Shear (kN)</t>
    <phoneticPr fontId="2" type="noConversion"/>
  </si>
  <si>
    <t>Factored Moment (kNm)</t>
    <phoneticPr fontId="2" type="noConversion"/>
  </si>
  <si>
    <t xml:space="preserve">Lateral Stability </t>
    <phoneticPr fontId="2" type="noConversion"/>
  </si>
  <si>
    <t>No intermediate support</t>
  </si>
  <si>
    <t>No intermediate support</t>
    <phoneticPr fontId="2" type="noConversion"/>
  </si>
  <si>
    <t>Held in line by purlins or tie rods</t>
    <phoneticPr fontId="2" type="noConversion"/>
  </si>
  <si>
    <t>Both edges are held in line</t>
    <phoneticPr fontId="2" type="noConversion"/>
  </si>
  <si>
    <t xml:space="preserve">LATERAL CONDITION </t>
    <phoneticPr fontId="2" type="noConversion"/>
  </si>
  <si>
    <t xml:space="preserve">Condition = </t>
    <phoneticPr fontId="2" type="noConversion"/>
  </si>
  <si>
    <t>Direct connection of decking/joists spaced within 610mm</t>
    <phoneticPr fontId="2" type="noConversion"/>
  </si>
  <si>
    <t>Direct connection of decking/joists spaced within 610mm and adequate bridging/blocking at interval</t>
    <phoneticPr fontId="2" type="noConversion"/>
  </si>
  <si>
    <t xml:space="preserve">kL (Long, Standard, Short term)= </t>
    <phoneticPr fontId="2" type="noConversion"/>
  </si>
  <si>
    <t>m</t>
    <phoneticPr fontId="2" type="noConversion"/>
  </si>
  <si>
    <t>If the above condition is not satisfied, enter:</t>
    <phoneticPr fontId="2" type="noConversion"/>
  </si>
  <si>
    <t>kL calculated value</t>
    <phoneticPr fontId="2" type="noConversion"/>
  </si>
  <si>
    <t xml:space="preserve">Sheathed with plywood/OSB with stiffness equivalent to that provided by 2 in common nails </t>
    <phoneticPr fontId="2" type="noConversion"/>
  </si>
  <si>
    <t>Not satisfied</t>
    <phoneticPr fontId="2" type="noConversion"/>
  </si>
  <si>
    <t>KD=0.65</t>
    <phoneticPr fontId="2" type="noConversion"/>
  </si>
  <si>
    <t>when KL=1</t>
    <phoneticPr fontId="2" type="noConversion"/>
  </si>
  <si>
    <t>When KL not = 1</t>
    <phoneticPr fontId="2" type="noConversion"/>
  </si>
  <si>
    <t>KD =1.0</t>
    <phoneticPr fontId="2" type="noConversion"/>
  </si>
  <si>
    <t>When kL = 1</t>
    <phoneticPr fontId="2" type="noConversion"/>
  </si>
  <si>
    <t>When KL not = 1</t>
    <phoneticPr fontId="2" type="noConversion"/>
  </si>
  <si>
    <t>kD=1.15</t>
    <phoneticPr fontId="2" type="noConversion"/>
  </si>
  <si>
    <t>Long - Term</t>
    <phoneticPr fontId="2" type="noConversion"/>
  </si>
  <si>
    <t>Standard - Term</t>
    <phoneticPr fontId="2" type="noConversion"/>
  </si>
  <si>
    <t xml:space="preserve">Short -Term </t>
    <phoneticPr fontId="2" type="noConversion"/>
  </si>
  <si>
    <t>FOR EDUCATIONAL PURPOSES ONLY - NOT FOR USE AS A DESIGN AID</t>
    <phoneticPr fontId="2" type="noConversion"/>
  </si>
  <si>
    <r>
      <rPr>
        <sz val="12"/>
        <color theme="1"/>
        <rFont val="Arial"/>
        <family val="2"/>
      </rPr>
      <t>ϕ</t>
    </r>
    <r>
      <rPr>
        <sz val="12"/>
        <color theme="1"/>
        <rFont val="Calibri (佈景主題本文)"/>
        <charset val="136"/>
      </rPr>
      <t xml:space="preserve"> = </t>
    </r>
    <phoneticPr fontId="2" type="noConversion"/>
  </si>
  <si>
    <t xml:space="preserve">kL = </t>
    <phoneticPr fontId="2" type="noConversion"/>
  </si>
  <si>
    <t xml:space="preserve">kzb =  </t>
    <phoneticPr fontId="2" type="noConversion"/>
  </si>
  <si>
    <t xml:space="preserve">Kzv = </t>
    <phoneticPr fontId="2" type="noConversion"/>
  </si>
  <si>
    <t xml:space="preserve">Area, A = </t>
    <phoneticPr fontId="2" type="noConversion"/>
  </si>
  <si>
    <t>if enter Lu</t>
    <phoneticPr fontId="2" type="noConversion"/>
  </si>
  <si>
    <t>Lu, when condition is satisfied but not ratio</t>
    <phoneticPr fontId="2" type="noConversion"/>
  </si>
  <si>
    <t xml:space="preserve">Lu in KL calculation: </t>
    <phoneticPr fontId="2" type="noConversion"/>
  </si>
  <si>
    <t>mm^2</t>
    <phoneticPr fontId="2" type="noConversion"/>
  </si>
  <si>
    <t>mm^3</t>
    <phoneticPr fontId="2" type="noConversion"/>
  </si>
  <si>
    <t>mm^4</t>
    <phoneticPr fontId="2" type="noConversion"/>
  </si>
  <si>
    <t xml:space="preserve">An[mm^2] = </t>
    <phoneticPr fontId="2" type="noConversion"/>
  </si>
  <si>
    <t xml:space="preserve">S [mm^3]= </t>
    <phoneticPr fontId="2" type="noConversion"/>
  </si>
  <si>
    <t>Moment of inertia, I [mm^4]</t>
    <phoneticPr fontId="2" type="noConversion"/>
  </si>
  <si>
    <t>Section Modulus, S [mm^3]</t>
    <phoneticPr fontId="2" type="noConversion"/>
  </si>
  <si>
    <t>Area, An [mm^2]</t>
    <phoneticPr fontId="2" type="noConversion"/>
  </si>
  <si>
    <t>Depth,d [ mm]</t>
    <phoneticPr fontId="2" type="noConversion"/>
  </si>
  <si>
    <t>Width,b [mm]</t>
    <phoneticPr fontId="2" type="noConversion"/>
  </si>
  <si>
    <t>Es [ MPa]</t>
    <phoneticPr fontId="2" type="noConversion"/>
  </si>
  <si>
    <t>Category</t>
    <phoneticPr fontId="2" type="noConversion"/>
  </si>
  <si>
    <t xml:space="preserve">1st Intermediate Steps </t>
    <phoneticPr fontId="2" type="noConversion"/>
  </si>
  <si>
    <t>Intermediate steps for Category</t>
    <phoneticPr fontId="2" type="noConversion"/>
  </si>
  <si>
    <t>Fb</t>
    <phoneticPr fontId="2" type="noConversion"/>
  </si>
  <si>
    <t xml:space="preserve">Ksb = </t>
    <phoneticPr fontId="2" type="noConversion"/>
  </si>
  <si>
    <t xml:space="preserve">Ksv = </t>
    <phoneticPr fontId="2" type="noConversion"/>
  </si>
  <si>
    <t xml:space="preserve">E = </t>
    <phoneticPr fontId="2" type="noConversion"/>
  </si>
  <si>
    <t xml:space="preserve">Kse = </t>
    <phoneticPr fontId="2" type="noConversion"/>
  </si>
  <si>
    <t>2nd Intermediate Steps</t>
    <phoneticPr fontId="2" type="noConversion"/>
  </si>
  <si>
    <t xml:space="preserve">3rd intermediate steps </t>
    <phoneticPr fontId="2" type="noConversion"/>
  </si>
  <si>
    <t>4th intermediate steps</t>
    <phoneticPr fontId="2" type="noConversion"/>
  </si>
  <si>
    <t xml:space="preserve">5th </t>
    <phoneticPr fontId="2" type="noConversion"/>
  </si>
  <si>
    <t>6th</t>
    <phoneticPr fontId="2" type="noConversion"/>
  </si>
  <si>
    <t xml:space="preserve">7th </t>
    <phoneticPr fontId="2" type="noConversion"/>
  </si>
  <si>
    <t xml:space="preserve">8th </t>
    <phoneticPr fontId="2" type="noConversion"/>
  </si>
  <si>
    <t xml:space="preserve">9th </t>
    <phoneticPr fontId="2" type="noConversion"/>
  </si>
  <si>
    <t>10th</t>
    <phoneticPr fontId="2" type="noConversion"/>
  </si>
  <si>
    <t>11th</t>
    <phoneticPr fontId="2" type="noConversion"/>
  </si>
  <si>
    <t xml:space="preserve">Max Deflection at mid span [mm] (+ Downward, - Upward) </t>
    <phoneticPr fontId="2" type="noConversion"/>
  </si>
  <si>
    <t xml:space="preserve">Kzv, Kzb </t>
    <phoneticPr fontId="2" type="noConversion"/>
  </si>
  <si>
    <t>Deflection (Total Load) [ mm]</t>
    <phoneticPr fontId="2" type="noConversion"/>
  </si>
  <si>
    <t>Moment Resistance (kNm)</t>
    <phoneticPr fontId="2" type="noConversion"/>
  </si>
  <si>
    <t xml:space="preserve">kL </t>
    <phoneticPr fontId="2" type="noConversion"/>
  </si>
  <si>
    <t>Shear Resistance (kN)</t>
    <phoneticPr fontId="2" type="noConversion"/>
  </si>
  <si>
    <t>DEPTH COMPARSION (Standard Load Duration)</t>
    <phoneticPr fontId="2" type="noConversion"/>
  </si>
  <si>
    <t>fb</t>
    <phoneticPr fontId="2" type="noConversion"/>
  </si>
  <si>
    <t>fv</t>
    <phoneticPr fontId="2" type="noConversion"/>
  </si>
  <si>
    <t xml:space="preserve">Fv </t>
    <phoneticPr fontId="2" type="noConversion"/>
  </si>
  <si>
    <t>Deflection (Live load) [mm]</t>
    <phoneticPr fontId="2" type="noConversion"/>
  </si>
  <si>
    <t>Lu, when condition is satisfied but not ratio</t>
  </si>
  <si>
    <t xml:space="preserve">Le </t>
    <phoneticPr fontId="2" type="noConversion"/>
  </si>
  <si>
    <t>CB</t>
    <phoneticPr fontId="2" type="noConversion"/>
  </si>
  <si>
    <t>Ck</t>
    <phoneticPr fontId="2" type="noConversion"/>
  </si>
  <si>
    <t xml:space="preserve">Case II, KL = </t>
    <phoneticPr fontId="2" type="noConversion"/>
  </si>
  <si>
    <t>Case III, kL=</t>
    <phoneticPr fontId="2" type="noConversion"/>
  </si>
  <si>
    <t>3 Conditions by Clause 6.5.6.4.1</t>
    <phoneticPr fontId="2" type="noConversion"/>
  </si>
  <si>
    <t xml:space="preserve">2nd </t>
    <phoneticPr fontId="2" type="noConversion"/>
  </si>
  <si>
    <t>3rd</t>
    <phoneticPr fontId="2" type="noConversion"/>
  </si>
  <si>
    <t>4th</t>
    <phoneticPr fontId="2" type="noConversion"/>
  </si>
  <si>
    <t>5th</t>
    <phoneticPr fontId="2" type="noConversion"/>
  </si>
  <si>
    <t>7th</t>
    <phoneticPr fontId="2" type="noConversion"/>
  </si>
  <si>
    <t>8th</t>
    <phoneticPr fontId="2" type="noConversion"/>
  </si>
  <si>
    <t>9th</t>
    <phoneticPr fontId="2" type="noConversion"/>
  </si>
  <si>
    <t>Manual Calculate  KL using clause 6.5.6.4 For depth comparsion</t>
    <phoneticPr fontId="2" type="noConversion"/>
  </si>
  <si>
    <t>S-P-F</t>
  </si>
  <si>
    <t xml:space="preserve">3 or more in mutual support &lt;610 mm apart </t>
  </si>
  <si>
    <t>Wet Condition</t>
  </si>
  <si>
    <t xml:space="preserve">Untreated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</si>
</sst>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_ "/>
    <numFmt numFmtId="166" formatCode="0.0000"/>
    <numFmt numFmtId="167" formatCode="0.0"/>
    <numFmt numFmtId="168" formatCode=";;;"/>
  </numFmts>
  <fonts count="29">
    <font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 (佈景主題本文)"/>
      <charset val="136"/>
    </font>
    <font>
      <b/>
      <sz val="14"/>
      <color theme="1"/>
      <name val="Calibri (佈景主題本文)"/>
      <charset val="136"/>
    </font>
    <font>
      <sz val="10"/>
      <color theme="1"/>
      <name val="Calibri (佈景主題本文)"/>
      <charset val="136"/>
    </font>
    <font>
      <u/>
      <sz val="12"/>
      <color theme="1"/>
      <name val="Calibri"/>
      <charset val="136"/>
      <scheme val="minor"/>
    </font>
    <font>
      <u/>
      <sz val="12"/>
      <color theme="1"/>
      <name val="Calibri (佈景主題本文)"/>
      <charset val="136"/>
    </font>
    <font>
      <sz val="12"/>
      <color theme="0"/>
      <name val="Calibri (佈景主題本文)"/>
      <charset val="136"/>
    </font>
    <font>
      <sz val="11"/>
      <color theme="1"/>
      <name val="Calibri (佈景主題本文)"/>
      <charset val="136"/>
    </font>
    <font>
      <sz val="12"/>
      <color theme="1"/>
      <name val="Abadi MT Condensed Extra Bold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name val="Calibri (佈景主題本文)"/>
      <charset val="136"/>
    </font>
    <font>
      <sz val="12"/>
      <color rgb="FF000000"/>
      <name val="Calibri (佈景主題本文)"/>
      <charset val="136"/>
    </font>
    <font>
      <sz val="12"/>
      <color theme="1"/>
      <name val="Lucida Grande"/>
      <charset val="136"/>
    </font>
    <font>
      <sz val="12"/>
      <name val="Calibri"/>
      <family val="2"/>
      <charset val="136"/>
      <scheme val="minor"/>
    </font>
    <font>
      <b/>
      <sz val="14"/>
      <color theme="0"/>
      <name val="Calibri (佈景主題本文)"/>
      <charset val="136"/>
    </font>
    <font>
      <i/>
      <sz val="12"/>
      <color theme="1"/>
      <name val="Calibri (佈景主題本文)"/>
      <charset val="136"/>
    </font>
    <font>
      <sz val="12"/>
      <color theme="1"/>
      <name val="Cambria"/>
      <charset val="136"/>
      <scheme val="major"/>
    </font>
    <font>
      <sz val="12"/>
      <color theme="0"/>
      <name val="Cambria"/>
      <charset val="136"/>
      <scheme val="major"/>
    </font>
    <font>
      <sz val="12"/>
      <color rgb="FFFF0000"/>
      <name val="Calibri (佈景主題本文)"/>
      <charset val="136"/>
    </font>
    <font>
      <sz val="12"/>
      <color theme="1"/>
      <name val="Arial"/>
      <family val="2"/>
    </font>
    <font>
      <b/>
      <sz val="12"/>
      <color theme="1"/>
      <name val="Calibri (佈景主題本文)"/>
      <charset val="136"/>
    </font>
    <font>
      <b/>
      <sz val="11"/>
      <color theme="1"/>
      <name val="Calibri (佈景主題本文)"/>
      <charset val="136"/>
    </font>
    <font>
      <sz val="14"/>
      <color theme="0"/>
      <name val="Calibri (佈景主題本文)"/>
      <charset val="136"/>
    </font>
    <font>
      <sz val="14"/>
      <color theme="1"/>
      <name val="Calibri (佈景主題本文)"/>
      <charset val="136"/>
    </font>
    <font>
      <sz val="8"/>
      <name val="Calibri (佈景主題本文)"/>
      <charset val="136"/>
    </font>
    <font>
      <i/>
      <sz val="12"/>
      <name val="Calibri (佈景主題本文)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6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6" fillId="0" borderId="0" xfId="0" applyFont="1"/>
    <xf numFmtId="0" fontId="7" fillId="0" borderId="0" xfId="0" applyFon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3" fillId="3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3" fillId="0" borderId="2" xfId="0" applyFont="1" applyBorder="1"/>
    <xf numFmtId="0" fontId="0" fillId="0" borderId="1" xfId="0" applyBorder="1" applyAlignment="1">
      <alignment horizontal="left"/>
    </xf>
    <xf numFmtId="0" fontId="1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0" fillId="0" borderId="0" xfId="0" applyFont="1" applyFill="1" applyBorder="1"/>
    <xf numFmtId="0" fontId="3" fillId="0" borderId="0" xfId="0" applyFont="1" applyFill="1" applyBorder="1"/>
    <xf numFmtId="0" fontId="3" fillId="3" borderId="0" xfId="0" applyFont="1" applyFill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/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2" fontId="3" fillId="0" borderId="0" xfId="0" applyNumberFormat="1" applyFont="1" applyBorder="1" applyAlignment="1">
      <alignment horizontal="center"/>
    </xf>
    <xf numFmtId="0" fontId="3" fillId="0" borderId="13" xfId="0" applyFont="1" applyBorder="1" applyAlignment="1"/>
    <xf numFmtId="0" fontId="1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3" xfId="0" applyFont="1" applyFill="1" applyBorder="1"/>
    <xf numFmtId="0" fontId="3" fillId="6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19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4" xfId="0" applyFont="1" applyFill="1" applyBorder="1"/>
    <xf numFmtId="165" fontId="3" fillId="0" borderId="0" xfId="0" applyNumberFormat="1" applyFont="1" applyFill="1"/>
    <xf numFmtId="0" fontId="18" fillId="0" borderId="0" xfId="0" applyFont="1" applyFill="1"/>
    <xf numFmtId="0" fontId="8" fillId="4" borderId="1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/>
    <xf numFmtId="0" fontId="21" fillId="0" borderId="0" xfId="0" applyFont="1" applyAlignment="1">
      <alignment horizontal="center"/>
    </xf>
    <xf numFmtId="0" fontId="17" fillId="0" borderId="0" xfId="0" applyFont="1" applyFill="1" applyAlignment="1"/>
    <xf numFmtId="0" fontId="0" fillId="0" borderId="18" xfId="0" applyFill="1" applyBorder="1"/>
    <xf numFmtId="0" fontId="3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13" fillId="0" borderId="0" xfId="0" applyFont="1" applyFill="1"/>
    <xf numFmtId="0" fontId="16" fillId="0" borderId="0" xfId="0" applyFont="1" applyFill="1"/>
    <xf numFmtId="0" fontId="23" fillId="3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>
      <alignment horizontal="center"/>
    </xf>
    <xf numFmtId="0" fontId="23" fillId="0" borderId="4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" fillId="0" borderId="0" xfId="0" applyFont="1" applyFill="1"/>
    <xf numFmtId="0" fontId="8" fillId="0" borderId="0" xfId="0" applyFont="1" applyFill="1" applyAlignment="1">
      <alignment horizontal="center"/>
    </xf>
    <xf numFmtId="164" fontId="0" fillId="0" borderId="0" xfId="0" applyNumberFormat="1" applyFill="1"/>
    <xf numFmtId="164" fontId="3" fillId="0" borderId="4" xfId="0" applyNumberFormat="1" applyFont="1" applyFill="1" applyBorder="1"/>
    <xf numFmtId="0" fontId="25" fillId="2" borderId="14" xfId="0" applyFont="1" applyFill="1" applyBorder="1"/>
    <xf numFmtId="0" fontId="25" fillId="2" borderId="15" xfId="0" applyFont="1" applyFill="1" applyBorder="1"/>
    <xf numFmtId="0" fontId="25" fillId="2" borderId="16" xfId="0" applyFont="1" applyFill="1" applyBorder="1"/>
    <xf numFmtId="0" fontId="26" fillId="3" borderId="0" xfId="0" applyFont="1" applyFill="1"/>
    <xf numFmtId="0" fontId="26" fillId="0" borderId="0" xfId="0" applyFont="1"/>
    <xf numFmtId="0" fontId="28" fillId="0" borderId="0" xfId="0" applyFont="1" applyFill="1"/>
    <xf numFmtId="0" fontId="13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68" fontId="13" fillId="0" borderId="0" xfId="0" applyNumberFormat="1" applyFont="1" applyFill="1"/>
    <xf numFmtId="168" fontId="13" fillId="0" borderId="0" xfId="0" applyNumberFormat="1" applyFont="1" applyFill="1" applyAlignment="1">
      <alignment horizontal="center"/>
    </xf>
    <xf numFmtId="168" fontId="27" fillId="0" borderId="0" xfId="0" applyNumberFormat="1" applyFont="1" applyFill="1"/>
    <xf numFmtId="168" fontId="16" fillId="0" borderId="0" xfId="0" applyNumberFormat="1" applyFont="1" applyFill="1"/>
    <xf numFmtId="0" fontId="13" fillId="0" borderId="4" xfId="0" applyFont="1" applyFill="1" applyBorder="1"/>
    <xf numFmtId="0" fontId="13" fillId="0" borderId="0" xfId="0" applyFont="1" applyFill="1" applyBorder="1"/>
    <xf numFmtId="168" fontId="16" fillId="0" borderId="0" xfId="0" applyNumberFormat="1" applyFont="1" applyFill="1" applyBorder="1"/>
    <xf numFmtId="168" fontId="13" fillId="0" borderId="0" xfId="0" applyNumberFormat="1" applyFont="1" applyFill="1" applyBorder="1"/>
    <xf numFmtId="168" fontId="13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/>
    <xf numFmtId="168" fontId="1" fillId="0" borderId="0" xfId="0" applyNumberFormat="1" applyFont="1" applyFill="1"/>
    <xf numFmtId="168" fontId="8" fillId="0" borderId="0" xfId="0" applyNumberFormat="1" applyFont="1" applyFill="1" applyAlignment="1">
      <alignment horizontal="left"/>
    </xf>
    <xf numFmtId="168" fontId="8" fillId="0" borderId="0" xfId="0" applyNumberFormat="1" applyFont="1" applyFill="1" applyAlignment="1">
      <alignment horizontal="center"/>
    </xf>
    <xf numFmtId="168" fontId="20" fillId="0" borderId="0" xfId="0" applyNumberFormat="1" applyFont="1" applyFill="1" applyAlignment="1"/>
    <xf numFmtId="168" fontId="20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68" fontId="0" fillId="0" borderId="0" xfId="0" applyNumberFormat="1" applyFill="1"/>
    <xf numFmtId="168" fontId="3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3" fillId="3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7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5" fillId="2" borderId="3" xfId="0" applyNumberFormat="1" applyFont="1" applyFill="1" applyBorder="1" applyAlignment="1">
      <alignment horizontal="center"/>
    </xf>
    <xf numFmtId="0" fontId="25" fillId="2" borderId="5" xfId="0" applyNumberFormat="1" applyFont="1" applyFill="1" applyBorder="1" applyAlignment="1">
      <alignment horizontal="center"/>
    </xf>
    <xf numFmtId="0" fontId="25" fillId="2" borderId="1" xfId="0" applyNumberFormat="1" applyFont="1" applyFill="1" applyBorder="1" applyAlignment="1">
      <alignment horizontal="center"/>
    </xf>
    <xf numFmtId="0" fontId="25" fillId="2" borderId="2" xfId="0" applyNumberFormat="1" applyFont="1" applyFill="1" applyBorder="1" applyAlignment="1">
      <alignment horizontal="center"/>
    </xf>
    <xf numFmtId="0" fontId="25" fillId="2" borderId="11" xfId="0" applyNumberFormat="1" applyFont="1" applyFill="1" applyBorder="1" applyAlignment="1">
      <alignment horizontal="center"/>
    </xf>
    <xf numFmtId="0" fontId="25" fillId="2" borderId="13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Deflection</a:t>
            </a:r>
            <a:r>
              <a:rPr lang="en-US" altLang="zh-TW" baseline="0"/>
              <a:t> Vs Depth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799186866348"/>
          <c:y val="0.19545454545454499"/>
          <c:w val="0.55571234968177996"/>
          <c:h val="0.61232343116201404"/>
        </c:manualLayout>
      </c:layout>
      <c:scatterChart>
        <c:scatterStyle val="smoothMarker"/>
        <c:varyColors val="0"/>
        <c:ser>
          <c:idx val="0"/>
          <c:order val="0"/>
          <c:tx>
            <c:v>Deflection Due to Total Load </c:v>
          </c:tx>
          <c:xVal>
            <c:numRef>
              <c:f>Design!$B$83:$B$93</c:f>
              <c:numCache>
                <c:formatCode>General</c:formatCode>
                <c:ptCount val="11"/>
                <c:pt idx="0">
                  <c:v>38</c:v>
                </c:pt>
                <c:pt idx="1">
                  <c:v>64</c:v>
                </c:pt>
                <c:pt idx="2">
                  <c:v>89</c:v>
                </c:pt>
                <c:pt idx="3">
                  <c:v>140</c:v>
                </c:pt>
                <c:pt idx="4">
                  <c:v>184</c:v>
                </c:pt>
                <c:pt idx="5">
                  <c:v>191</c:v>
                </c:pt>
                <c:pt idx="6">
                  <c:v>235</c:v>
                </c:pt>
                <c:pt idx="7">
                  <c:v>241</c:v>
                </c:pt>
                <c:pt idx="8">
                  <c:v>286</c:v>
                </c:pt>
                <c:pt idx="9">
                  <c:v>343</c:v>
                </c:pt>
                <c:pt idx="10">
                  <c:v>394</c:v>
                </c:pt>
              </c:numCache>
            </c:numRef>
          </c:xVal>
          <c:yVal>
            <c:numRef>
              <c:f>Design!$L$83:$L$93</c:f>
              <c:numCache>
                <c:formatCode>0.000</c:formatCode>
                <c:ptCount val="11"/>
                <c:pt idx="0">
                  <c:v>1074.0985994845546</c:v>
                </c:pt>
                <c:pt idx="1">
                  <c:v>224.83039226881593</c:v>
                </c:pt>
                <c:pt idx="2">
                  <c:v>83.603588740663028</c:v>
                </c:pt>
                <c:pt idx="3">
                  <c:v>21.478840506893761</c:v>
                </c:pt>
                <c:pt idx="4">
                  <c:v>9.4610964774910613</c:v>
                </c:pt>
                <c:pt idx="5">
                  <c:v>8.4585289180750447</c:v>
                </c:pt>
                <c:pt idx="6">
                  <c:v>4.5414167073512797</c:v>
                </c:pt>
                <c:pt idx="7">
                  <c:v>4.2105983160101337</c:v>
                </c:pt>
                <c:pt idx="8">
                  <c:v>2.5193983510280087</c:v>
                </c:pt>
                <c:pt idx="9">
                  <c:v>1.4605370556073582</c:v>
                </c:pt>
                <c:pt idx="10">
                  <c:v>0.96362104162407258</c:v>
                </c:pt>
              </c:numCache>
            </c:numRef>
          </c:yVal>
          <c:smooth val="1"/>
        </c:ser>
        <c:ser>
          <c:idx val="1"/>
          <c:order val="1"/>
          <c:tx>
            <c:v>Deflection Due to Live Load </c:v>
          </c:tx>
          <c:xVal>
            <c:numRef>
              <c:f>Design!$B$83:$B$93</c:f>
              <c:numCache>
                <c:formatCode>General</c:formatCode>
                <c:ptCount val="11"/>
                <c:pt idx="0">
                  <c:v>38</c:v>
                </c:pt>
                <c:pt idx="1">
                  <c:v>64</c:v>
                </c:pt>
                <c:pt idx="2">
                  <c:v>89</c:v>
                </c:pt>
                <c:pt idx="3">
                  <c:v>140</c:v>
                </c:pt>
                <c:pt idx="4">
                  <c:v>184</c:v>
                </c:pt>
                <c:pt idx="5">
                  <c:v>191</c:v>
                </c:pt>
                <c:pt idx="6">
                  <c:v>235</c:v>
                </c:pt>
                <c:pt idx="7">
                  <c:v>241</c:v>
                </c:pt>
                <c:pt idx="8">
                  <c:v>286</c:v>
                </c:pt>
                <c:pt idx="9">
                  <c:v>343</c:v>
                </c:pt>
                <c:pt idx="10">
                  <c:v>394</c:v>
                </c:pt>
              </c:numCache>
            </c:numRef>
          </c:xVal>
          <c:yVal>
            <c:numRef>
              <c:f>Design!$M$83:$M$93</c:f>
              <c:numCache>
                <c:formatCode>0.00</c:formatCode>
                <c:ptCount val="11"/>
                <c:pt idx="0">
                  <c:v>429.63943979382185</c:v>
                </c:pt>
                <c:pt idx="1">
                  <c:v>89.932156907526377</c:v>
                </c:pt>
                <c:pt idx="2">
                  <c:v>33.441435496265214</c:v>
                </c:pt>
                <c:pt idx="3">
                  <c:v>8.5915362027575046</c:v>
                </c:pt>
                <c:pt idx="4">
                  <c:v>3.7844385909964249</c:v>
                </c:pt>
                <c:pt idx="5">
                  <c:v>3.3834115672300182</c:v>
                </c:pt>
                <c:pt idx="6">
                  <c:v>1.8165666829405118</c:v>
                </c:pt>
                <c:pt idx="7">
                  <c:v>1.6842393264040536</c:v>
                </c:pt>
                <c:pt idx="8">
                  <c:v>1.0077593404112035</c:v>
                </c:pt>
                <c:pt idx="9">
                  <c:v>0.5842148222429433</c:v>
                </c:pt>
                <c:pt idx="10">
                  <c:v>0.38544841664962903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91936"/>
        <c:axId val="420588672"/>
      </c:scatterChart>
      <c:valAx>
        <c:axId val="420591936"/>
        <c:scaling>
          <c:orientation val="minMax"/>
          <c:max val="397"/>
          <c:min val="38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TW" sz="1200"/>
                  <a:t>Depth</a:t>
                </a:r>
                <a:r>
                  <a:rPr lang="en-US" altLang="zh-TW" sz="1200" baseline="0"/>
                  <a:t>, mm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0588672"/>
        <c:crosses val="autoZero"/>
        <c:crossBetween val="midCat"/>
      </c:valAx>
      <c:valAx>
        <c:axId val="420588672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TW" sz="1200"/>
                  <a:t>Deflection</a:t>
                </a:r>
                <a:r>
                  <a:rPr lang="en-US" altLang="zh-TW" sz="1200" baseline="0"/>
                  <a:t>, mm</a:t>
                </a:r>
              </a:p>
            </c:rich>
          </c:tx>
          <c:layout/>
          <c:overlay val="0"/>
        </c:title>
        <c:numFmt formatCode="#,##0.0_);[Red]\(#,##0.0\)" sourceLinked="0"/>
        <c:majorTickMark val="none"/>
        <c:minorTickMark val="none"/>
        <c:tickLblPos val="nextTo"/>
        <c:crossAx val="4205919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44722350882597"/>
          <c:y val="0.36445866141732303"/>
          <c:w val="0.22687303792908201"/>
          <c:h val="0.3604766165592940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Shear Resistance Vs Depth </c:v>
          </c:tx>
          <c:xVal>
            <c:numRef>
              <c:f>Design!$B$83:$B$93</c:f>
              <c:numCache>
                <c:formatCode>General</c:formatCode>
                <c:ptCount val="11"/>
                <c:pt idx="0">
                  <c:v>38</c:v>
                </c:pt>
                <c:pt idx="1">
                  <c:v>64</c:v>
                </c:pt>
                <c:pt idx="2">
                  <c:v>89</c:v>
                </c:pt>
                <c:pt idx="3">
                  <c:v>140</c:v>
                </c:pt>
                <c:pt idx="4">
                  <c:v>184</c:v>
                </c:pt>
                <c:pt idx="5">
                  <c:v>191</c:v>
                </c:pt>
                <c:pt idx="6">
                  <c:v>235</c:v>
                </c:pt>
                <c:pt idx="7">
                  <c:v>241</c:v>
                </c:pt>
                <c:pt idx="8">
                  <c:v>286</c:v>
                </c:pt>
                <c:pt idx="9">
                  <c:v>343</c:v>
                </c:pt>
                <c:pt idx="10">
                  <c:v>394</c:v>
                </c:pt>
              </c:numCache>
            </c:numRef>
          </c:xVal>
          <c:yVal>
            <c:numRef>
              <c:f>Design!$N$83:$N$93</c:f>
              <c:numCache>
                <c:formatCode>0.00</c:formatCode>
                <c:ptCount val="11"/>
                <c:pt idx="0">
                  <c:v>2.3330419199999999</c:v>
                </c:pt>
                <c:pt idx="1">
                  <c:v>3.9293337600000009</c:v>
                </c:pt>
                <c:pt idx="2">
                  <c:v>5.4642297600000012</c:v>
                </c:pt>
                <c:pt idx="3">
                  <c:v>7.0785792000000001</c:v>
                </c:pt>
                <c:pt idx="4">
                  <c:v>7.974236160000002</c:v>
                </c:pt>
                <c:pt idx="5">
                  <c:v>8.2776038399999994</c:v>
                </c:pt>
                <c:pt idx="6">
                  <c:v>9.3357792000000028</c:v>
                </c:pt>
                <c:pt idx="7">
                  <c:v>9.574139520000001</c:v>
                </c:pt>
                <c:pt idx="8">
                  <c:v>10.328947200000002</c:v>
                </c:pt>
                <c:pt idx="9">
                  <c:v>11.148762240000002</c:v>
                </c:pt>
                <c:pt idx="10">
                  <c:v>11.383511040000002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89216"/>
        <c:axId val="420590304"/>
      </c:scatterChart>
      <c:valAx>
        <c:axId val="420589216"/>
        <c:scaling>
          <c:orientation val="minMax"/>
          <c:max val="397"/>
          <c:min val="3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Depth</a:t>
                </a:r>
                <a:r>
                  <a:rPr lang="en-US" altLang="zh-TW" baseline="0"/>
                  <a:t>, mm</a:t>
                </a:r>
              </a:p>
            </c:rich>
          </c:tx>
          <c:layout>
            <c:manualLayout>
              <c:xMode val="edge"/>
              <c:yMode val="edge"/>
              <c:x val="0.51171562689279204"/>
              <c:y val="0.9163223208561920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0590304"/>
        <c:crosses val="autoZero"/>
        <c:crossBetween val="midCat"/>
      </c:valAx>
      <c:valAx>
        <c:axId val="42059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Sjear</a:t>
                </a:r>
                <a:r>
                  <a:rPr lang="en-US" altLang="zh-TW" baseline="0"/>
                  <a:t> Resistance (kN)</a:t>
                </a:r>
                <a:endParaRPr lang="zh-TW" alt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20589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Moment Resistance Vs Depth </c:v>
          </c:tx>
          <c:xVal>
            <c:numRef>
              <c:f>Design!$B$83:$B$93</c:f>
              <c:numCache>
                <c:formatCode>General</c:formatCode>
                <c:ptCount val="11"/>
                <c:pt idx="0">
                  <c:v>38</c:v>
                </c:pt>
                <c:pt idx="1">
                  <c:v>64</c:v>
                </c:pt>
                <c:pt idx="2">
                  <c:v>89</c:v>
                </c:pt>
                <c:pt idx="3">
                  <c:v>140</c:v>
                </c:pt>
                <c:pt idx="4">
                  <c:v>184</c:v>
                </c:pt>
                <c:pt idx="5">
                  <c:v>191</c:v>
                </c:pt>
                <c:pt idx="6">
                  <c:v>235</c:v>
                </c:pt>
                <c:pt idx="7">
                  <c:v>241</c:v>
                </c:pt>
                <c:pt idx="8">
                  <c:v>286</c:v>
                </c:pt>
                <c:pt idx="9">
                  <c:v>343</c:v>
                </c:pt>
                <c:pt idx="10">
                  <c:v>394</c:v>
                </c:pt>
              </c:numCache>
            </c:numRef>
          </c:xVal>
          <c:yVal>
            <c:numRef>
              <c:f>Design!$O$83:$O$93</c:f>
              <c:numCache>
                <c:formatCode>0.00</c:formatCode>
                <c:ptCount val="11"/>
                <c:pt idx="0">
                  <c:v>0.15256149955200002</c:v>
                </c:pt>
                <c:pt idx="1">
                  <c:v>0.43275062476800003</c:v>
                </c:pt>
                <c:pt idx="2">
                  <c:v>0.83686955536800023</c:v>
                </c:pt>
                <c:pt idx="3">
                  <c:v>1.7053477056000002</c:v>
                </c:pt>
                <c:pt idx="4">
                  <c:v>1.3735507597500005</c:v>
                </c:pt>
                <c:pt idx="5">
                  <c:v>1.4258054082187501</c:v>
                </c:pt>
                <c:pt idx="6">
                  <c:v>1.6080745987109379</c:v>
                </c:pt>
                <c:pt idx="7">
                  <c:v>1.6491318225078129</c:v>
                </c:pt>
                <c:pt idx="8">
                  <c:v>1.7791463645312495</c:v>
                </c:pt>
                <c:pt idx="9">
                  <c:v>1.9203583312265624</c:v>
                </c:pt>
                <c:pt idx="10">
                  <c:v>1.9607934758750001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86496"/>
        <c:axId val="420594656"/>
      </c:scatterChart>
      <c:valAx>
        <c:axId val="420586496"/>
        <c:scaling>
          <c:orientation val="minMax"/>
          <c:max val="397"/>
          <c:min val="3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Depth,</a:t>
                </a:r>
                <a:r>
                  <a:rPr lang="en-US" altLang="zh-TW" baseline="0"/>
                  <a:t> mm</a:t>
                </a:r>
                <a:endParaRPr lang="zh-TW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20594656"/>
        <c:crosses val="autoZero"/>
        <c:crossBetween val="midCat"/>
      </c:valAx>
      <c:valAx>
        <c:axId val="42059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Moment</a:t>
                </a:r>
                <a:r>
                  <a:rPr lang="en-US" altLang="zh-TW" baseline="0"/>
                  <a:t> Resistance, kNm</a:t>
                </a:r>
                <a:endParaRPr lang="zh-TW" alt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20586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1820334</xdr:colOff>
      <xdr:row>4</xdr:row>
      <xdr:rowOff>38100</xdr:rowOff>
    </xdr:from>
    <xdr:to>
      <xdr:col>7</xdr:col>
      <xdr:colOff>764032</xdr:colOff>
      <xdr:row>13</xdr:row>
      <xdr:rowOff>190499</xdr:rowOff>
    </xdr:to>
    <xdr:pic>
      <xdr:nvPicPr>
        <xdr:cNvPr id="2" name="圖片 1" descr="Wood Project illustration 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3667" y="817033"/>
          <a:ext cx="6486652" cy="1962573"/>
        </a:xfrm>
        <a:prstGeom prst="rect">
          <a:avLst/>
        </a:prstGeom>
      </xdr:spPr>
    </xdr:pic>
    <xdr:clientData/>
  </xdr:twoCellAnchor>
  <xdr:twoCellAnchor>
    <xdr:from>
      <xdr:col>1</xdr:col>
      <xdr:colOff>431800</xdr:colOff>
      <xdr:row>93</xdr:row>
      <xdr:rowOff>177800</xdr:rowOff>
    </xdr:from>
    <xdr:to>
      <xdr:col>3</xdr:col>
      <xdr:colOff>812800</xdr:colOff>
      <xdr:row>111</xdr:row>
      <xdr:rowOff>101600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800099</xdr:colOff>
      <xdr:row>94</xdr:row>
      <xdr:rowOff>0</xdr:rowOff>
    </xdr:from>
    <xdr:to>
      <xdr:col>5</xdr:col>
      <xdr:colOff>1676400</xdr:colOff>
      <xdr:row>111</xdr:row>
      <xdr:rowOff>101600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1676400</xdr:colOff>
      <xdr:row>94</xdr:row>
      <xdr:rowOff>0</xdr:rowOff>
    </xdr:from>
    <xdr:to>
      <xdr:col>7</xdr:col>
      <xdr:colOff>1854200</xdr:colOff>
      <xdr:row>111</xdr:row>
      <xdr:rowOff>101600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2"/>
  <sheetViews>
    <sheetView tabSelected="1" view="pageLayout" workbookViewId="0">
      <selection activeCell="G38" sqref="G38"/>
    </sheetView>
  </sheetViews>
  <sheetFormatPr defaultColWidth="11" defaultRowHeight="15.75"/>
  <cols>
    <col min="1" max="1" width="15.625" customWidth="1"/>
    <col min="2" max="2" width="38.375" customWidth="1"/>
    <col min="3" max="3" width="33.125" customWidth="1"/>
    <col min="4" max="4" width="28.625" customWidth="1"/>
    <col min="5" max="5" width="31.875" customWidth="1"/>
    <col min="6" max="6" width="31" customWidth="1"/>
    <col min="7" max="7" width="36" customWidth="1"/>
    <col min="8" max="8" width="36.125" customWidth="1"/>
    <col min="9" max="9" width="27.5" customWidth="1"/>
    <col min="10" max="10" width="12.625" customWidth="1"/>
    <col min="11" max="11" width="30.5" customWidth="1"/>
    <col min="12" max="12" width="29.5" customWidth="1"/>
    <col min="13" max="13" width="28.5" customWidth="1"/>
    <col min="14" max="14" width="26.125" customWidth="1"/>
    <col min="15" max="15" width="26.625" customWidth="1"/>
  </cols>
  <sheetData>
    <row r="1" spans="1:60" ht="19.5">
      <c r="A1" s="135" t="s">
        <v>254</v>
      </c>
      <c r="B1" s="135"/>
      <c r="C1" s="135"/>
      <c r="D1" s="135"/>
      <c r="E1" s="135"/>
      <c r="F1" s="135"/>
      <c r="G1" s="135"/>
      <c r="H1" s="135"/>
      <c r="I1" s="7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0" ht="16.5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19.5">
      <c r="A3" s="136" t="s">
        <v>85</v>
      </c>
      <c r="B3" s="136"/>
      <c r="C3" s="136"/>
      <c r="D3" s="136"/>
      <c r="E3" s="136"/>
      <c r="F3" s="136"/>
      <c r="G3" s="136"/>
      <c r="H3" s="136"/>
      <c r="I3" s="1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6.5">
      <c r="A4" s="137" t="s">
        <v>0</v>
      </c>
      <c r="B4" s="137"/>
      <c r="C4" s="137"/>
      <c r="D4" s="137"/>
      <c r="E4" s="137"/>
      <c r="F4" s="1"/>
      <c r="G4" s="1"/>
      <c r="H4" s="1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6.5">
      <c r="A5" s="2" t="s">
        <v>1</v>
      </c>
      <c r="B5" s="1"/>
      <c r="C5" s="1"/>
      <c r="D5" s="1"/>
      <c r="E5" s="9"/>
      <c r="F5" s="9"/>
      <c r="G5" s="9"/>
      <c r="H5" s="9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16.5">
      <c r="A6" s="1"/>
      <c r="B6" s="1"/>
      <c r="C6" s="1"/>
      <c r="D6" s="1"/>
      <c r="E6" s="9"/>
      <c r="F6" s="9"/>
      <c r="G6" s="9"/>
      <c r="H6" s="9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17.25" thickBot="1">
      <c r="A7" s="144" t="s">
        <v>4</v>
      </c>
      <c r="B7" s="144"/>
      <c r="C7" s="144"/>
      <c r="D7" s="144"/>
      <c r="E7" s="9"/>
      <c r="F7" s="9"/>
      <c r="G7" s="9"/>
      <c r="H7" s="9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ht="17.25" thickBot="1">
      <c r="A8" s="134" t="s">
        <v>5</v>
      </c>
      <c r="B8" s="134"/>
      <c r="C8" s="1"/>
      <c r="D8" s="1"/>
      <c r="E8" s="9"/>
      <c r="F8" s="9"/>
      <c r="G8" s="9"/>
      <c r="H8" s="9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ht="19.5">
      <c r="A9" s="1"/>
      <c r="B9" s="99" t="s">
        <v>6</v>
      </c>
      <c r="C9" s="142" t="s">
        <v>318</v>
      </c>
      <c r="D9" s="143"/>
      <c r="E9" s="9"/>
      <c r="F9" s="9"/>
      <c r="G9" s="9"/>
      <c r="H9" s="9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1:60" ht="19.5">
      <c r="A10" s="1"/>
      <c r="B10" s="99" t="s">
        <v>7</v>
      </c>
      <c r="C10" s="140" t="s">
        <v>17</v>
      </c>
      <c r="D10" s="141"/>
      <c r="E10" s="9"/>
      <c r="F10" s="9"/>
      <c r="G10" s="9"/>
      <c r="H10" s="9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ht="19.5">
      <c r="A11" s="1"/>
      <c r="B11" s="99" t="s">
        <v>8</v>
      </c>
      <c r="C11" s="140" t="s">
        <v>319</v>
      </c>
      <c r="D11" s="141"/>
      <c r="E11" s="9"/>
      <c r="F11" s="9"/>
      <c r="G11" s="9"/>
      <c r="H11" s="9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1:60" ht="19.5">
      <c r="A12" s="1"/>
      <c r="B12" s="99" t="s">
        <v>9</v>
      </c>
      <c r="C12" s="140" t="s">
        <v>320</v>
      </c>
      <c r="D12" s="141"/>
      <c r="E12" s="9"/>
      <c r="F12" s="9"/>
      <c r="G12" s="9"/>
      <c r="H12" s="9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</row>
    <row r="13" spans="1:60" ht="20.25" thickBot="1">
      <c r="A13" s="1"/>
      <c r="B13" s="99" t="s">
        <v>10</v>
      </c>
      <c r="C13" s="138" t="s">
        <v>321</v>
      </c>
      <c r="D13" s="139"/>
      <c r="E13" s="9"/>
      <c r="F13" s="9"/>
      <c r="G13" s="9"/>
      <c r="H13" s="9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ht="16.5">
      <c r="A14" s="1"/>
      <c r="B14" s="1"/>
      <c r="C14" s="1"/>
      <c r="D14" s="1"/>
      <c r="E14" s="9"/>
      <c r="F14" s="9"/>
      <c r="G14" s="9"/>
      <c r="H14" s="9"/>
      <c r="I14" s="84"/>
      <c r="J14" s="84"/>
      <c r="K14" s="84"/>
      <c r="L14" s="84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1:60" ht="17.25" thickBot="1">
      <c r="A15" s="4" t="s">
        <v>87</v>
      </c>
      <c r="B15" s="1"/>
      <c r="C15" s="1"/>
      <c r="D15" s="1"/>
      <c r="E15" s="1"/>
      <c r="F15" s="1"/>
      <c r="G15" s="83"/>
      <c r="H15" s="84"/>
      <c r="I15" s="84"/>
      <c r="J15" s="84"/>
      <c r="K15" s="84"/>
      <c r="L15" s="84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1:60" ht="19.5">
      <c r="A16" s="1"/>
      <c r="B16" s="99" t="s">
        <v>88</v>
      </c>
      <c r="C16" s="96">
        <v>38</v>
      </c>
      <c r="D16" s="1" t="s">
        <v>31</v>
      </c>
      <c r="E16" s="36" t="s">
        <v>92</v>
      </c>
      <c r="F16" s="43" t="str">
        <f>IF(AND(MIN(C16,C17)&lt;=89,MAX(C16,C17)&lt;=89,OR(C10="Construction",C10="Standard")),"Light framing",IF(AND(C10="Stud",MIN(C16,C17)&lt;=89),"Stud",IF(AND(MIN(C16,C17)&lt;=89,MAX(C16,C17)&gt;=140,OR(C10="select",C10="Commercial")),"Plank decking",G19)))</f>
        <v>Structural joist and planks</v>
      </c>
      <c r="G16" s="64"/>
      <c r="H16" s="11"/>
      <c r="I16" s="84"/>
      <c r="J16" s="84"/>
      <c r="K16" s="84"/>
      <c r="L16" s="84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ht="19.5">
      <c r="A17" s="1"/>
      <c r="B17" s="99" t="s">
        <v>89</v>
      </c>
      <c r="C17" s="97">
        <v>184</v>
      </c>
      <c r="D17" s="1" t="s">
        <v>32</v>
      </c>
      <c r="E17" s="14" t="s">
        <v>211</v>
      </c>
      <c r="F17" s="15">
        <f>IF(F16="light framing",J31,IF(F16="beam and stringer",K31,IF(F16="post and timber",L31,IF(OR(F16="structural joist and planks",F16="Stud",F16="structural light framing"),I31))))</f>
        <v>11.8</v>
      </c>
      <c r="G17" s="10"/>
      <c r="H17" s="11"/>
      <c r="I17" s="84"/>
      <c r="J17" s="84"/>
      <c r="K17" s="84"/>
      <c r="L17" s="84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1:60" ht="19.5">
      <c r="B18" s="99" t="s">
        <v>90</v>
      </c>
      <c r="C18" s="97">
        <v>4</v>
      </c>
      <c r="D18" s="1" t="s">
        <v>33</v>
      </c>
      <c r="E18" s="14" t="s">
        <v>135</v>
      </c>
      <c r="F18" s="15">
        <f>IF(C11="no mutual support",1,IF(C11="Sheathed with plywood/OSB with stiffness equivalent to that provided by 2 in common nails ",1.4,1.1))</f>
        <v>1.1000000000000001</v>
      </c>
      <c r="G18" s="115" t="str">
        <f>IF(AND(MAX(C16,C17)&lt;=89,OR(C10="SS",C10="No.1",C10="No.2",C10="No.3")),"Structural light framing",IF(MAX(C16,C17)&gt;=114,"Structural joist and planks"))</f>
        <v>Structural joist and planks</v>
      </c>
      <c r="H18" s="116">
        <f>IF(AND(MIN(C16,C17)&gt;=114,ABS(C16-C17)&gt;51),"Beam and Stringer",IF(AND(MIN(C16,C17)&gt;=114,ABS(C16-C17)&lt;=51),"Post and timber",))</f>
        <v>0</v>
      </c>
      <c r="I18" s="84"/>
      <c r="J18" s="84"/>
      <c r="K18" s="84"/>
      <c r="L18" s="84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1:60" ht="19.5">
      <c r="B19" s="99" t="s">
        <v>259</v>
      </c>
      <c r="C19" s="97">
        <f>C16*C17</f>
        <v>6992</v>
      </c>
      <c r="D19" s="1" t="s">
        <v>263</v>
      </c>
      <c r="E19" s="14" t="s">
        <v>136</v>
      </c>
      <c r="F19" s="15">
        <f>IF(AND(C12="Wet Condition",MIN(C16,C17)&lt;=89),0.84,1)</f>
        <v>0.84</v>
      </c>
      <c r="G19" s="116" t="str">
        <f>IF(AND(OR(C10="SS",C10="No.1",C10="No.2",C10="No.3"),MIN(C16,C17)&lt;=89),G18,IF(AND(OR(C10="SS",C10="No.1",C10="No.2"),MIN(C16,C17)&gt;=114),H18))</f>
        <v>Structural joist and planks</v>
      </c>
      <c r="H19" s="116"/>
      <c r="I19" s="84"/>
      <c r="J19" s="84"/>
      <c r="K19" s="84"/>
      <c r="L19" s="84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19.5">
      <c r="B20" s="100" t="s">
        <v>91</v>
      </c>
      <c r="C20" s="97">
        <f>C16*(C17^2)/6</f>
        <v>214421.33333333334</v>
      </c>
      <c r="D20" s="1" t="s">
        <v>264</v>
      </c>
      <c r="E20" s="14" t="s">
        <v>153</v>
      </c>
      <c r="F20" s="15">
        <f>IF(AND(C13="Treated incised of thickness 89mm or less ",C12="Wet condition"),0.85,IF(AND(C13="Treated incised of thickness 89mm or less ",C12="Dry condition"),0.75,1))</f>
        <v>1</v>
      </c>
      <c r="G20" s="10"/>
      <c r="H20" s="11"/>
      <c r="I20" s="84"/>
      <c r="J20" s="84"/>
      <c r="K20" s="84"/>
      <c r="L20" s="84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1:60" ht="19.5">
      <c r="A21" s="1"/>
      <c r="B21" s="99" t="s">
        <v>221</v>
      </c>
      <c r="C21" s="97">
        <f>C16*(C17^3)/12</f>
        <v>19726762.666666668</v>
      </c>
      <c r="D21" s="1" t="s">
        <v>265</v>
      </c>
      <c r="E21" s="14" t="s">
        <v>154</v>
      </c>
      <c r="F21" s="15">
        <f>IF(AND(C13="Treated incised of thickness 89mm or less ",C12="Wet condition"),0.95,IF(AND(C13="Treated incised of thickness 89mm or less ",C12="Dry condition"),0.9,1))</f>
        <v>1</v>
      </c>
      <c r="G21" s="10"/>
      <c r="H21" s="11"/>
      <c r="I21" s="84"/>
      <c r="J21" s="84"/>
      <c r="K21" s="84"/>
      <c r="L21" s="84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ht="20.25" thickBot="1">
      <c r="A22" s="1"/>
      <c r="B22" s="100" t="s">
        <v>222</v>
      </c>
      <c r="C22" s="98">
        <f>F28*F26*F21</f>
        <v>8930</v>
      </c>
      <c r="D22" s="1" t="s">
        <v>223</v>
      </c>
      <c r="E22" s="46" t="s">
        <v>238</v>
      </c>
      <c r="F22" s="60" t="str">
        <f>IF(AND(C17/C16&lt;=4,C25="no intermediate support"),1,IF(AND(C17/C16&lt;=5,C25="Held in line by purlins or tie rods"),1,IF(AND(C17/C16&lt;=6.5,C25="Direct connection of decking/joists spaced within 610mm"),1,IF(AND(C17/C16&lt;=7.5,C25="direct connection of decking/joists spaced within 610mm and adequate bridging/blocking at interval"),1,IF(AND(C17/C16&lt;=9,C25="both edges are held in line"),1,H43)))))</f>
        <v>0.786 ,0.544, 0.473</v>
      </c>
      <c r="G22" s="10"/>
      <c r="H22" s="11"/>
      <c r="I22" s="84"/>
      <c r="J22" s="84"/>
      <c r="K22" s="84"/>
      <c r="L22" s="84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ht="16.5">
      <c r="E23" s="14" t="s">
        <v>212</v>
      </c>
      <c r="F23" s="15">
        <f>IF(F16="light framing",K48,IF(F16="beam and stringer",L48,IF(F16="post and timber",M48,IF(OR(F16="structural joist and planks",F16="Stud",F16="structural light framing"),J48))))</f>
        <v>1.5</v>
      </c>
      <c r="G23" s="10"/>
      <c r="H23" s="11"/>
      <c r="I23" s="84"/>
      <c r="J23" s="84"/>
      <c r="K23" s="84"/>
      <c r="L23" s="84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1:60" ht="17.25" thickBot="1">
      <c r="A24" s="134" t="s">
        <v>234</v>
      </c>
      <c r="B24" s="134"/>
      <c r="C24" s="1"/>
      <c r="E24" s="44" t="s">
        <v>137</v>
      </c>
      <c r="F24" s="15">
        <f>IF(AND(C12="Wet Condition",MIN(C16,C17)&lt;=89),0.96,1)</f>
        <v>0.96</v>
      </c>
      <c r="G24" s="11"/>
      <c r="H24" s="11"/>
      <c r="I24" s="84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ht="17.25" thickBot="1">
      <c r="B25" s="1" t="s">
        <v>235</v>
      </c>
      <c r="C25" s="61" t="s">
        <v>230</v>
      </c>
      <c r="D25" s="1"/>
      <c r="E25" s="44" t="s">
        <v>138</v>
      </c>
      <c r="F25" s="45">
        <f>IF(MIN(C16,C17)&lt;=64,VLOOKUP(MAX(C16,C17),Kztable,2,FALSE),IF(AND(MIN(Design!C16,Design!C17)&gt;=89,MIN(Design!C16,Design!C17)&lt;=102),VLOOKUP(MAX(Design!C16,Design!C17),Kztable,3,FALSE),VLOOKUP(MAX(Design!C16,Design!C17),Kztable,4,FALSE)))</f>
        <v>1.2</v>
      </c>
      <c r="G25" s="11"/>
      <c r="H25" s="11"/>
      <c r="I25" s="84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17.25" thickBot="1">
      <c r="A26" s="1" t="s">
        <v>240</v>
      </c>
      <c r="C26" s="34"/>
      <c r="E26" s="14" t="s">
        <v>139</v>
      </c>
      <c r="F26" s="15">
        <f>IF(AND(C12="Wet Condition",MIN(C16,C17)&lt;=89),0.94,1)</f>
        <v>0.94</v>
      </c>
      <c r="G26" s="11"/>
      <c r="H26" s="11"/>
      <c r="I26" s="84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ht="17.25" thickBot="1">
      <c r="B27" s="10" t="s">
        <v>126</v>
      </c>
      <c r="C27" s="57">
        <v>0</v>
      </c>
      <c r="D27" s="1" t="s">
        <v>239</v>
      </c>
      <c r="E27" s="46" t="s">
        <v>210</v>
      </c>
      <c r="F27" s="45">
        <f>F25</f>
        <v>1.2</v>
      </c>
      <c r="G27" s="11"/>
      <c r="H27" s="11"/>
      <c r="I27" s="84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ht="16.5">
      <c r="E28" s="44" t="s">
        <v>213</v>
      </c>
      <c r="F28" s="15">
        <f>IF(F16="light framing",K55,IF(F16="beam and stringer",L55,IF(F16="post and timber",M55,IF(OR(F16="structural joist and planks",F16="Stud",F16="structural light framing"),J55))))</f>
        <v>9500</v>
      </c>
      <c r="G28" s="11"/>
      <c r="H28" s="11"/>
      <c r="I28" s="84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17.25" thickBot="1">
      <c r="E29" s="18" t="s">
        <v>158</v>
      </c>
      <c r="F29" s="20">
        <v>0.9</v>
      </c>
      <c r="G29" s="11"/>
      <c r="H29" s="11"/>
      <c r="I29" s="111"/>
      <c r="J29" s="111"/>
      <c r="K29" s="111"/>
      <c r="L29" s="111"/>
      <c r="M29" s="111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17.25" thickBot="1">
      <c r="A30" s="4" t="s">
        <v>30</v>
      </c>
      <c r="B30" s="1"/>
      <c r="C30" s="1"/>
      <c r="D30" s="1"/>
      <c r="G30" s="11"/>
      <c r="H30" s="122"/>
      <c r="I30" s="132" t="s">
        <v>206</v>
      </c>
      <c r="J30" s="132"/>
      <c r="K30" s="132"/>
      <c r="L30" s="132"/>
      <c r="M30" s="112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16.5">
      <c r="A31" s="1"/>
      <c r="B31" s="9" t="s">
        <v>34</v>
      </c>
      <c r="C31" s="37">
        <v>0.3</v>
      </c>
      <c r="D31" s="1" t="s">
        <v>84</v>
      </c>
      <c r="E31" s="145" t="s">
        <v>164</v>
      </c>
      <c r="F31" s="146"/>
      <c r="G31" s="147"/>
      <c r="H31" s="122"/>
      <c r="I31" s="113">
        <f>IF(C9="northern species",I41,IF(C9="S-P-F",I39,IF(C9="Hem-Fir",I37,I35)))</f>
        <v>11.8</v>
      </c>
      <c r="J31" s="113">
        <f>IF(C9="northern species",J41,IF(C9="S-P-F",J39,IF(C9="Hem-Fir",J37,J35)))</f>
        <v>8.6</v>
      </c>
      <c r="K31" s="113">
        <f>IF(C9="northern species",K41,IF(C9="S-P-F",K39,IF(C9="Hem-Fir",K37,K35)))</f>
        <v>6.3</v>
      </c>
      <c r="L31" s="113">
        <f>IF(C9="northern species",L41,IF(C9="S-P-F",L39,IF(C9="Hem-Fir",L37,L35)))</f>
        <v>4.2</v>
      </c>
      <c r="M31" s="112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16.5">
      <c r="A32" s="1"/>
      <c r="B32" s="9" t="s">
        <v>35</v>
      </c>
      <c r="C32" s="38">
        <v>0.2</v>
      </c>
      <c r="D32" s="1" t="s">
        <v>83</v>
      </c>
      <c r="E32" s="72"/>
      <c r="F32" s="40" t="s">
        <v>163</v>
      </c>
      <c r="G32" s="41" t="s">
        <v>162</v>
      </c>
      <c r="H32" s="122"/>
      <c r="I32" s="112"/>
      <c r="J32" s="112"/>
      <c r="K32" s="112"/>
      <c r="L32" s="112"/>
      <c r="M32" s="11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16.5">
      <c r="A33" s="1"/>
      <c r="B33" s="9" t="s">
        <v>36</v>
      </c>
      <c r="C33" s="38">
        <v>0</v>
      </c>
      <c r="D33" s="1" t="s">
        <v>83</v>
      </c>
      <c r="E33" s="72" t="s">
        <v>159</v>
      </c>
      <c r="F33" s="81">
        <f>H79</f>
        <v>9.1703715839999997</v>
      </c>
      <c r="G33" s="53">
        <f>IF(F22=1,H54,H56)</f>
        <v>1.3735507597500001</v>
      </c>
      <c r="H33" s="122"/>
      <c r="I33" s="113" t="s">
        <v>190</v>
      </c>
      <c r="J33" s="113" t="s">
        <v>191</v>
      </c>
      <c r="K33" s="113" t="s">
        <v>192</v>
      </c>
      <c r="L33" s="113" t="s">
        <v>193</v>
      </c>
      <c r="M33" s="112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16.5">
      <c r="A34" s="1"/>
      <c r="B34" s="9" t="s">
        <v>37</v>
      </c>
      <c r="C34" s="38">
        <v>0</v>
      </c>
      <c r="D34" s="1" t="s">
        <v>83</v>
      </c>
      <c r="E34" s="72" t="s">
        <v>160</v>
      </c>
      <c r="F34" s="81">
        <f>H78</f>
        <v>7.974236160000002</v>
      </c>
      <c r="G34" s="53">
        <f>IF(F22=1,H50,H52)</f>
        <v>1.3735507597500005</v>
      </c>
      <c r="H34" s="122"/>
      <c r="I34" s="112" t="s">
        <v>186</v>
      </c>
      <c r="J34" s="113"/>
      <c r="K34" s="113"/>
      <c r="L34" s="113"/>
      <c r="M34" s="11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17.25" thickBot="1">
      <c r="A35" s="1"/>
      <c r="B35" s="9" t="s">
        <v>38</v>
      </c>
      <c r="C35" s="39">
        <v>0</v>
      </c>
      <c r="D35" s="1" t="s">
        <v>83</v>
      </c>
      <c r="E35" s="73" t="s">
        <v>161</v>
      </c>
      <c r="F35" s="82">
        <f>H77</f>
        <v>5.1832535040000005</v>
      </c>
      <c r="G35" s="54">
        <f>G45</f>
        <v>1.2904794919616518</v>
      </c>
      <c r="H35" s="122"/>
      <c r="I35" s="113">
        <f>IF(C10="SS",VLOOKUP("SS",DFLA,2,FALSE),IF(C10="No.1",VLOOKUP("No.1",DFLA,2,FALSE),IF(C10="No.2",VLOOKUP("No.2",DFLA,2,FALSE),IF(C10="No.3",VLOOKUP("No.3",DFLA,2,FALSE),VLOOKUP("Stud",DFLA,2,FALSE)))))</f>
        <v>10</v>
      </c>
      <c r="J35" s="113">
        <f>IF(C10="construction",VLOOKUP("construction",DFLB,2,FALSE),VLOOKUP("Standard",DFLB,2,FALSE))</f>
        <v>7.3</v>
      </c>
      <c r="K35" s="113">
        <f>IF(C10="SS",VLOOKUP("SS",DFLC,2,FALSE),IF(C10="No.1",VLOOKUP("No.1",DFLC,2,FALSE),VLOOKUP("No.2",DFLC,2,FALSE)))</f>
        <v>9</v>
      </c>
      <c r="L35" s="113">
        <f>IF(C10="SS",VLOOKUP("SS",DFLD,2,FALSE),IF(C10="No.1",VLOOKUP("No.1",DFLD,2,FALSE),VLOOKUP("No.2",DFLD,2,FALSE)))</f>
        <v>6</v>
      </c>
      <c r="M35" s="112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s="11" customFormat="1" ht="16.5">
      <c r="E36" s="71" t="s">
        <v>226</v>
      </c>
      <c r="F36" s="48" t="s">
        <v>227</v>
      </c>
      <c r="G36" s="49" t="s">
        <v>228</v>
      </c>
      <c r="H36" s="122"/>
      <c r="I36" s="113" t="s">
        <v>187</v>
      </c>
      <c r="J36" s="113"/>
      <c r="K36" s="113"/>
      <c r="L36" s="113"/>
      <c r="M36" s="112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</row>
    <row r="37" spans="1:60" s="11" customFormat="1" ht="16.5">
      <c r="E37" s="50" t="s">
        <v>159</v>
      </c>
      <c r="F37" s="47">
        <f>IF(OR(C34=0,C35=0),0,MAX(C48,C51,C54,C57,C58,C59,C60,C61,C62,C63,C64,C65,C66))</f>
        <v>0</v>
      </c>
      <c r="G37" s="52">
        <f>IF(OR(C34=0,C35=0),0,MAX(D48,D51,D54,D57,D58,D59,D60,D61,D62,D63,D64,D65,D66))</f>
        <v>0</v>
      </c>
      <c r="H37" s="122"/>
      <c r="I37" s="113">
        <f>IF(C10="SS",VLOOKUP("SS",HFA,2,FALSE),IF(C10="No.1",VLOOKUP("No.1",HFA,2,FALSE),IF(C10="No.2",VLOOKUP("No.2",HFA,2,FALSE),IF(C10="No.3",VLOOKUP("No.3",HFA,2,FALSE),VLOOKUP("Stud",HFA,2,FALSE)))))</f>
        <v>11</v>
      </c>
      <c r="J37" s="113">
        <f>IF(C10="construction",VLOOKUP("construction",HFB,2,FALSE),VLOOKUP("Standard",HFB,2,FALSE))</f>
        <v>8</v>
      </c>
      <c r="K37" s="113">
        <f>IF(C10="SS",VLOOKUP("SS",HFC,2,FALSE),IF(C10="No.1",VLOOKUP("No.1",HFC,2,FALSE),VLOOKUP("No.2",HFC,2,FALSE)))</f>
        <v>6.7</v>
      </c>
      <c r="L37" s="113">
        <f>IF(C10="SS",VLOOKUP("SS",HFD,2,FALSE),IF(C10="No.1",VLOOKUP("No.1",HFD,2,FALSE),VLOOKUP("No.2",HFD,2,FALSE)))</f>
        <v>4.5</v>
      </c>
      <c r="M37" s="112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</row>
    <row r="38" spans="1:60" ht="16.5">
      <c r="E38" s="50" t="s">
        <v>160</v>
      </c>
      <c r="F38" s="47">
        <f>MAX(C46,C47,C49,C50,C52,C53,C55,C56)</f>
        <v>1.35</v>
      </c>
      <c r="G38" s="52">
        <f>MAX(D46,D47,D49,D50,D52,D53,D55,D56)</f>
        <v>1.35</v>
      </c>
      <c r="H38" s="122"/>
      <c r="I38" s="113" t="s">
        <v>188</v>
      </c>
      <c r="J38" s="113"/>
      <c r="K38" s="113"/>
      <c r="L38" s="113"/>
      <c r="M38" s="112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s="11" customFormat="1" ht="17.25" thickBot="1">
      <c r="A39" s="29"/>
      <c r="B39" s="29"/>
      <c r="C39" s="29"/>
      <c r="D39" s="29"/>
      <c r="E39" s="51" t="s">
        <v>161</v>
      </c>
      <c r="F39" s="55">
        <f>C45</f>
        <v>0.84</v>
      </c>
      <c r="G39" s="56">
        <f>D45</f>
        <v>0.84</v>
      </c>
      <c r="H39" s="122"/>
      <c r="I39" s="113">
        <f>IF(C10="SS",VLOOKUP("SS",SPFA,2,FALSE),IF(C10="No.1",VLOOKUP("No.1",SPFA,2,FALSE),IF(C10="No.2",VLOOKUP("No.2",SPFA,2,FALSE),IF(C10="No.3",VLOOKUP("No.3",SPFA,2,FALSE),VLOOKUP("Stud",SPFA,2,FALSE)))))</f>
        <v>11.8</v>
      </c>
      <c r="J39" s="113">
        <f>IF(C10="construction",VLOOKUP("construction",SPFB,2,FALSE),VLOOKUP("Standard",SPFB,2,FALSE))</f>
        <v>8.6</v>
      </c>
      <c r="K39" s="113">
        <f>IF(C10="SS",VLOOKUP("SS",SPFC,2,FALSE),IF(C10="No.1",VLOOKUP("No.1",SPFC,2,FALSE),VLOOKUP("No.2",SPFC,2,FALSE)))</f>
        <v>6.3</v>
      </c>
      <c r="L39" s="113">
        <f>IF(C10="SS",VLOOKUP("SS",SPFD,2,FALSE),IF(C10="No.1",VLOOKUP("No.1",SPFD,2,FALSE),VLOOKUP("No.2",SPFD,2,FALSE)))</f>
        <v>4.2</v>
      </c>
      <c r="M39" s="112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</row>
    <row r="40" spans="1:60" s="11" customFormat="1" ht="17.25" thickBot="1">
      <c r="A40" s="144" t="s">
        <v>292</v>
      </c>
      <c r="B40" s="144"/>
      <c r="C40" s="144"/>
      <c r="D40" s="88" t="s">
        <v>225</v>
      </c>
      <c r="E40" s="21"/>
      <c r="F40" s="92"/>
      <c r="G40" s="92"/>
      <c r="H40" s="116"/>
      <c r="I40" s="113" t="s">
        <v>189</v>
      </c>
      <c r="J40" s="113"/>
      <c r="K40" s="113"/>
      <c r="L40" s="113"/>
      <c r="M40" s="112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</row>
    <row r="41" spans="1:60" ht="16.5">
      <c r="A41" s="124" t="s">
        <v>219</v>
      </c>
      <c r="B41" s="124"/>
      <c r="C41" s="42">
        <f>5*(C31+C32+C33+C34+C35)*((C18*1000)^4)/(384*C22*C21)</f>
        <v>9.4610964774910613</v>
      </c>
      <c r="D41" s="42">
        <f>C18*1000/180</f>
        <v>22.222222222222221</v>
      </c>
      <c r="E41" s="74" t="str">
        <f>IF(D41&gt;ABS(C41),"OK","Not OK")</f>
        <v>OK</v>
      </c>
      <c r="F41" s="92"/>
      <c r="G41" s="92"/>
      <c r="H41" s="116"/>
      <c r="I41" s="113">
        <f>IF(C10="SS",VLOOKUP("SS",NA,2,FALSE),IF(C10="No.1",VLOOKUP("No.1",NA,2,FALSE),IF(C10="No.2",VLOOKUP("No.2",NA,2,FALSE),IF(C10="No.3",VLOOKUP("No.3",NA,2,FALSE),VLOOKUP("Stud",NA,2,FALSE)))))</f>
        <v>7.6</v>
      </c>
      <c r="J41" s="113">
        <f>IF(C10="construction",VLOOKUP("construction",NB,2,FALSE),VLOOKUP("Standard",NB,2,FALSE))</f>
        <v>5.5</v>
      </c>
      <c r="K41" s="113">
        <f>IF(C10="SS",VLOOKUP("SS",NC,2,FALSE),IF(C10="No.1",VLOOKUP("No.1",NC,2,FALSE),VLOOKUP("No.2",NC,2,FALSE)))</f>
        <v>5.9</v>
      </c>
      <c r="L41" s="113">
        <f>IF(C10="SS",VLOOKUP("SS",ND,2,FALSE),IF(C10="No.1",VLOOKUP("No.1",ND,2,FALSE),VLOOKUP("No.2",ND,2,FALSE)))</f>
        <v>3.9</v>
      </c>
      <c r="M41" s="112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ht="16.5">
      <c r="A42" s="124" t="s">
        <v>220</v>
      </c>
      <c r="B42" s="124"/>
      <c r="C42" s="42">
        <f>5*C32*((C18*1000)^4)/(384*C22*C21)</f>
        <v>3.7844385909964244</v>
      </c>
      <c r="D42" s="42">
        <f>C18*1000/360</f>
        <v>11.111111111111111</v>
      </c>
      <c r="E42" s="74" t="str">
        <f>IF(D42&gt;ABS(C42),"OK","Not OK")</f>
        <v>OK</v>
      </c>
      <c r="F42" s="92"/>
      <c r="G42" s="92"/>
      <c r="H42" s="116"/>
      <c r="I42" s="112"/>
      <c r="J42" s="112"/>
      <c r="K42" s="112"/>
      <c r="L42" s="112"/>
      <c r="M42" s="112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s="11" customFormat="1" ht="16.5">
      <c r="A43"/>
      <c r="B43"/>
      <c r="C43"/>
      <c r="D43"/>
      <c r="E43"/>
      <c r="F43" s="116"/>
      <c r="G43" s="116" t="s">
        <v>241</v>
      </c>
      <c r="H43" s="116" t="str">
        <f>ROUND(G77,3) &amp;" ," &amp;ROUND(G78,3)&amp;", "&amp;ROUND(G79,3)</f>
        <v>0.786 ,0.544, 0.473</v>
      </c>
      <c r="I43" s="113" t="s">
        <v>197</v>
      </c>
      <c r="J43" s="114" t="s">
        <v>199</v>
      </c>
      <c r="K43" s="113" t="s">
        <v>203</v>
      </c>
      <c r="L43" s="113" t="s">
        <v>204</v>
      </c>
      <c r="M43" s="113" t="s">
        <v>205</v>
      </c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</row>
    <row r="44" spans="1:60" ht="17.25" thickBot="1">
      <c r="A44" s="130" t="s">
        <v>39</v>
      </c>
      <c r="B44" s="130"/>
      <c r="C44" s="85" t="s">
        <v>142</v>
      </c>
      <c r="D44" s="85" t="s">
        <v>143</v>
      </c>
      <c r="E44" s="85" t="s">
        <v>127</v>
      </c>
      <c r="F44" s="116"/>
      <c r="G44" s="116"/>
      <c r="H44" s="117" t="s">
        <v>245</v>
      </c>
      <c r="I44" s="113" t="s">
        <v>198</v>
      </c>
      <c r="J44" s="113">
        <f>IF(C10="SS",VLOOKUP("SS",DFLA,3,FALSE),IF(C10="No.1",VLOOKUP("No.1",DFLA,3,FALSE),IF(C10="No.2",VLOOKUP("No.2",DFLA,3,FALSE),IF(C10="No.3",VLOOKUP("No.3",DFLA,3,FALSE),VLOOKUP("Stud",DFLA,3,FALSE)))))</f>
        <v>1.9</v>
      </c>
      <c r="K44" s="113">
        <f>IF(C10="construction",VLOOKUP("construction",DFLB,3,FALSE),VLOOKUP("Standard",DFLB,3,FALSE))</f>
        <v>3.2</v>
      </c>
      <c r="L44" s="113">
        <f>IF(C10="SS",VLOOKUP("SS",DFLC,3,FALSE),IF(C10="No.1",VLOOKUP("No.1",DFLC,3,FALSE),VLOOKUP("No.2",DFLC,3,FALSE)))</f>
        <v>1.5</v>
      </c>
      <c r="M44" s="113">
        <f>IF(C10="SS",VLOOKUP("SS",DFLD,3,FALSE),IF(C10="No.1",VLOOKUP("No.1",DFLD,3,FALSE),VLOOKUP("No.2",DFLD,3,FALSE)))</f>
        <v>1.5</v>
      </c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16.5">
      <c r="A45" s="5">
        <v>1</v>
      </c>
      <c r="B45" s="6" t="s">
        <v>40</v>
      </c>
      <c r="C45" s="28">
        <f>ABS(1.4*(C31*C18/2))</f>
        <v>0.84</v>
      </c>
      <c r="D45" s="28">
        <f>1.4*(C31*C18*C18/8)</f>
        <v>0.84</v>
      </c>
      <c r="E45" s="5">
        <v>0.65</v>
      </c>
      <c r="F45" s="118" t="s">
        <v>244</v>
      </c>
      <c r="G45" s="116">
        <f>IF(F22=1,H45,H47)</f>
        <v>1.2904794919616518</v>
      </c>
      <c r="H45" s="115" t="e">
        <f>F29*B77*C20*F27*F22/1000000</f>
        <v>#VALUE!</v>
      </c>
      <c r="I45" s="113" t="s">
        <v>200</v>
      </c>
      <c r="J45" s="113">
        <f>IF(C10="SS",VLOOKUP("SS",HFA,3,FALSE),IF(C10="No.1",VLOOKUP("No.1",HFA,3,FALSE),IF(C10="No.2",VLOOKUP("No.2",HFA,3,FALSE),IF(C10="No.3",VLOOKUP("No.3",HFA,3,FALSE),VLOOKUP("Stud",HFA,3,FALSE)))))</f>
        <v>1.6</v>
      </c>
      <c r="K45" s="113">
        <f>IF(C10="construction",VLOOKUP("construction",HFB,3,FALSE),VLOOKUP("Standard",HFB,3,FALSE))</f>
        <v>2.7</v>
      </c>
      <c r="L45" s="113">
        <f>IF(C10="SS",VLOOKUP("SS",HFC,3,FALSE),IF(C10="No.1",VLOOKUP("No.1",HFC,3,FALSE),VLOOKUP("No.2",HFC,3,FALSE)))</f>
        <v>1.2</v>
      </c>
      <c r="M45" s="113">
        <f>IF(C10="SS",VLOOKUP("SS",HFD,3,FALSE),IF(C10="No.1",VLOOKUP("No.1",HFD,3,FALSE),VLOOKUP("No.2",HFD,3,FALSE)))</f>
        <v>1.2</v>
      </c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s="11" customFormat="1" ht="16.5">
      <c r="A46" s="5" t="s">
        <v>41</v>
      </c>
      <c r="B46" s="6" t="s">
        <v>42</v>
      </c>
      <c r="C46" s="28">
        <f>ABS(1.25*(C31*C18/2)+1.5*(C32*C18/2))</f>
        <v>1.35</v>
      </c>
      <c r="D46" s="28">
        <f>1.25*(C31*C18*C18/8)+1.5*(C32*C18*C18/8)</f>
        <v>1.35</v>
      </c>
      <c r="E46" s="5">
        <v>1</v>
      </c>
      <c r="F46" s="119"/>
      <c r="G46" s="116"/>
      <c r="H46" s="117" t="s">
        <v>246</v>
      </c>
      <c r="I46" s="113" t="s">
        <v>201</v>
      </c>
      <c r="J46" s="113">
        <f>IF(C10="SS",VLOOKUP("SS",SPFA,3,FALSE),IF(C10="No.1",VLOOKUP("No.1",SPFA,3,FALSE),IF(C10="No.2",VLOOKUP("No.2",SPFA,3,FALSE),IF(C10="No.3",VLOOKUP("No.3",SPFA,3,FALSE),VLOOKUP("Stud",SPFA,3,FALSE)))))</f>
        <v>1.5</v>
      </c>
      <c r="K46" s="113">
        <f>IF(C10="construction",VLOOKUP("construction",SPFB,3,FALSE),VLOOKUP("Standard",SPFB,3,FALSE))</f>
        <v>2.6</v>
      </c>
      <c r="L46" s="113">
        <f>IF(C10="SS",VLOOKUP("SS",SPFC,3,FALSE),IF(C10="No.1",VLOOKUP("No.1",SPFC,3,FALSE),VLOOKUP("No.2",SPFC,3,FALSE)))</f>
        <v>1.2</v>
      </c>
      <c r="M46" s="113">
        <f>IF(C10="SS",VLOOKUP("SS",SPFD,3,FALSE),IF(C10="No.1",VLOOKUP("No.1",SPFD,3,FALSE),VLOOKUP("No.2",SPFD,3,FALSE)))</f>
        <v>1.2</v>
      </c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</row>
    <row r="47" spans="1:60" ht="16.5">
      <c r="A47" s="5" t="s">
        <v>43</v>
      </c>
      <c r="B47" s="6" t="s">
        <v>44</v>
      </c>
      <c r="C47" s="28">
        <f>ABS(1.25*(C31*C18/2)+1.5*(C32*C18/2)+0.5*(C33*C18/2))</f>
        <v>1.35</v>
      </c>
      <c r="D47" s="28">
        <f>1.25*(C31*C18*C18/8)+1.5*(C32*C18*C18/8)+0.5*(C33*C18*C18/8)</f>
        <v>1.35</v>
      </c>
      <c r="E47" s="5">
        <v>1</v>
      </c>
      <c r="F47" s="119"/>
      <c r="G47" s="116"/>
      <c r="H47" s="115">
        <f>F29*B77*C20*F27*G77/1000000</f>
        <v>1.2904794919616518</v>
      </c>
      <c r="I47" s="113" t="s">
        <v>202</v>
      </c>
      <c r="J47" s="113">
        <f>IF(C10="SS",VLOOKUP("SS",NA,3,FALSE),IF(C10="No.1",VLOOKUP("No.1",NA,3,FALSE),IF(C10="No.2",VLOOKUP("No.2",NA,3,FALSE),IF(C10="No.3",VLOOKUP("No.3",NA,3,FALSE),VLOOKUP("Stud",NA,3,FALSE)))))</f>
        <v>1.3</v>
      </c>
      <c r="K47" s="113">
        <f>IF(C10="construction",VLOOKUP("construction",NB,3,FALSE),VLOOKUP("Standard",NB,3,FALSE))</f>
        <v>2.2000000000000002</v>
      </c>
      <c r="L47" s="113">
        <f>IF(C10="SS",VLOOKUP("SS",NC,3,FALSE),IF(C10="No.1",VLOOKUP("No.1",NC,3,FALSE),VLOOKUP("No.2",NC,3,FALSE)))</f>
        <v>1</v>
      </c>
      <c r="M47" s="113">
        <f>IF(C10="SS",VLOOKUP("SS",ND,3,FALSE),IF(C10="No.1",VLOOKUP("No.1",ND,3,FALSE),VLOOKUP("No.2",ND,3,FALSE)))</f>
        <v>1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s="11" customFormat="1" ht="16.5">
      <c r="A48" s="5" t="s">
        <v>45</v>
      </c>
      <c r="B48" s="6" t="s">
        <v>46</v>
      </c>
      <c r="C48" s="28">
        <f>ABS(1.25*(C31*C18/2)+1.5*(C32*C18/2)+0.4*(C34*C18/2))</f>
        <v>1.35</v>
      </c>
      <c r="D48" s="28">
        <f>1.25*(C31*C18*C18/8)+1.5*(C32*C18*C18/8)+0.4*(C34*C18*C18/8)</f>
        <v>1.35</v>
      </c>
      <c r="E48" s="5">
        <v>1.1499999999999999</v>
      </c>
      <c r="F48" s="119"/>
      <c r="G48" s="116"/>
      <c r="H48" s="116"/>
      <c r="I48" s="113"/>
      <c r="J48" s="113">
        <f>IF(C9="northern species",J47,IF(C9="S-P-F",J46,IF(C9="Hem-Fir",J45,J44)))</f>
        <v>1.5</v>
      </c>
      <c r="K48" s="113">
        <f>IF(C9="northern species",K47,IF(C9="S-P-F",K46,IF(C9="Hem-Fir",K45,K44)))</f>
        <v>2.6</v>
      </c>
      <c r="L48" s="113">
        <f>IF(C9="northern species",L47,IF(C9="S-P-F",L46,IF(C9="Hem-Fir",L45,L44)))</f>
        <v>1.2</v>
      </c>
      <c r="M48" s="113">
        <f>IF(C9="northern species",M47,IF(C9="S-P-F",M46,IF(C9="Hem-Fir",M45,M44)))</f>
        <v>1.2</v>
      </c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</row>
    <row r="49" spans="1:60" ht="16.5">
      <c r="A49" s="5" t="s">
        <v>47</v>
      </c>
      <c r="B49" s="6" t="s">
        <v>48</v>
      </c>
      <c r="C49" s="28">
        <f>ABS(0.9*(C31*C18/2)+1.5*(C32*C18/2))</f>
        <v>1.1400000000000001</v>
      </c>
      <c r="D49" s="28">
        <f>0.9*(C31*C18*C18/8)+1.5*(C32*C18*C18/8)</f>
        <v>1.1400000000000001</v>
      </c>
      <c r="E49" s="5">
        <v>1</v>
      </c>
      <c r="F49" s="120" t="s">
        <v>247</v>
      </c>
      <c r="G49" s="115"/>
      <c r="H49" s="115" t="s">
        <v>248</v>
      </c>
      <c r="I49" s="113"/>
      <c r="J49" s="113"/>
      <c r="K49" s="113"/>
      <c r="L49" s="113"/>
      <c r="M49" s="11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6.5">
      <c r="A50" s="5" t="s">
        <v>49</v>
      </c>
      <c r="B50" s="6" t="s">
        <v>50</v>
      </c>
      <c r="C50" s="28">
        <f>ABS(0.9*(C31*C18/2)+1.5*(C32*C18/2)+0.5*(C33*C18/2))</f>
        <v>1.1400000000000001</v>
      </c>
      <c r="D50" s="28">
        <f>0.9*(C31*C18*C18/8)+1.5*(C32*C18*C18/8)+0.5*(C33*C18*C18/8)</f>
        <v>1.1400000000000001</v>
      </c>
      <c r="E50" s="5">
        <v>1</v>
      </c>
      <c r="F50" s="116"/>
      <c r="G50" s="116">
        <f>IF(F22=1,H50,H52)</f>
        <v>1.3735507597500005</v>
      </c>
      <c r="H50" s="115" t="e">
        <f>F29*B78*C20*F27*F22/1000000</f>
        <v>#VALUE!</v>
      </c>
      <c r="I50" s="113" t="s">
        <v>207</v>
      </c>
      <c r="J50" s="114" t="s">
        <v>199</v>
      </c>
      <c r="K50" s="113" t="s">
        <v>203</v>
      </c>
      <c r="L50" s="113" t="s">
        <v>204</v>
      </c>
      <c r="M50" s="113" t="s">
        <v>205</v>
      </c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16.5">
      <c r="A51" s="5" t="s">
        <v>51</v>
      </c>
      <c r="B51" s="6" t="s">
        <v>52</v>
      </c>
      <c r="C51" s="28">
        <f>ABS(0.9*(C31*C18/2)+1.5*(C32*C18/2)+0.4*(C34*C18/2))</f>
        <v>1.1400000000000001</v>
      </c>
      <c r="D51" s="28">
        <f>0.9*(C31*C18*C18/8)+1.5*(C32*C18*C18/8)+0.4*(C34*C18*C18/8)</f>
        <v>1.1400000000000001</v>
      </c>
      <c r="E51" s="5">
        <v>1.1499999999999999</v>
      </c>
      <c r="F51" s="116"/>
      <c r="G51" s="115"/>
      <c r="H51" s="115" t="s">
        <v>249</v>
      </c>
      <c r="I51" s="113" t="s">
        <v>198</v>
      </c>
      <c r="J51" s="113">
        <f>IF(C10="SS",VLOOKUP("SS",DFLA,4,FALSE),IF(C10="No.1",VLOOKUP("No.1",DFLA,4,FALSE),IF(C10="No.2",VLOOKUP("No.2",DFLA,4,FALSE),IF(C10="No.3",VLOOKUP("No.3",DFLA,4,FALSE),VLOOKUP("Stud",DFLA,4,FALSE)))))</f>
        <v>11000</v>
      </c>
      <c r="K51" s="113">
        <f>IF(C10="construction",VLOOKUP("construction",DFLB,4,FALSE),VLOOKUP("Standard",DFLB,4,FALSE))</f>
        <v>9000</v>
      </c>
      <c r="L51" s="113">
        <f>IF(C10="SS",VLOOKUP("SS",DFLC,4,FALSE),IF(C10="No.1",VLOOKUP("No.1",DFLC,4,FALSE),VLOOKUP("No.2",DFLC,4,FALSE)))</f>
        <v>9500</v>
      </c>
      <c r="M51" s="113">
        <f>IF(C10="SS",VLOOKUP("SS",DFLD,4,FALSE),IF(C10="No.1",VLOOKUP("No.1",DFLD,4,FALSE),VLOOKUP("No.2",DFLD,4,FALSE)))</f>
        <v>9500</v>
      </c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16.5">
      <c r="A52" s="5" t="s">
        <v>53</v>
      </c>
      <c r="B52" s="6" t="s">
        <v>54</v>
      </c>
      <c r="C52" s="28">
        <f>ABS(1.25*(C31*C18/2)+1.5*(C33*C18/2))</f>
        <v>0.75</v>
      </c>
      <c r="D52" s="28">
        <f>1.25*(C31*C18*C18/8)+1.5*(C33*C18*C18/8)</f>
        <v>0.75</v>
      </c>
      <c r="E52" s="5">
        <v>1</v>
      </c>
      <c r="F52" s="116"/>
      <c r="G52" s="115"/>
      <c r="H52" s="115">
        <f>F29*B78*C20*F27*G78/1000000</f>
        <v>1.3735507597500005</v>
      </c>
      <c r="I52" s="113" t="s">
        <v>200</v>
      </c>
      <c r="J52" s="113">
        <f>IF(C10="SS",VLOOKUP("SS",HFA,4,FALSE),IF(C10="No.1",VLOOKUP("No.1",HFA,4,FALSE),IF(C10="No.2",VLOOKUP("No.2",HFA,4,FALSE),IF(C10="No.3",VLOOKUP("No.3",HFA,4,FALSE),VLOOKUP("Stud",HFA,4,FALSE)))))</f>
        <v>11000</v>
      </c>
      <c r="K52" s="113">
        <f>IF(C10="construction",VLOOKUP("construction",HFB,4,FALSE),VLOOKUP("Standard",HFB,4,FALSE))</f>
        <v>9000</v>
      </c>
      <c r="L52" s="113">
        <f>IF(C10="SS",VLOOKUP("SS",HFC,4,FALSE),IF(C10="No.1",VLOOKUP("No.1",HFC,4,FALSE),VLOOKUP("No.2",HFC,4,FALSE)))</f>
        <v>8000</v>
      </c>
      <c r="M52" s="113">
        <f>IF(C10="SS",VLOOKUP("SS",HFD,4,FALSE),IF(C10="No.1",VLOOKUP("No.1",HFD,4,FALSE),VLOOKUP("No.2",HFD,4,FALSE)))</f>
        <v>8000</v>
      </c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6.5">
      <c r="A53" s="5" t="s">
        <v>55</v>
      </c>
      <c r="B53" s="6" t="s">
        <v>56</v>
      </c>
      <c r="C53" s="28">
        <f>ABS(1.25*(C31*C18/2)+1.5*(C33*C18/2)+0.5*(C32*C18/2))</f>
        <v>0.95</v>
      </c>
      <c r="D53" s="28">
        <f>1.25*(C31*C18*C18/8)+1.5*(C33*C18*C18/8)+0.5*(C32*C18*C18/8)</f>
        <v>0.95</v>
      </c>
      <c r="E53" s="5">
        <v>1</v>
      </c>
      <c r="F53" s="121" t="s">
        <v>250</v>
      </c>
      <c r="G53" s="116"/>
      <c r="H53" s="115" t="s">
        <v>248</v>
      </c>
      <c r="I53" s="113" t="s">
        <v>201</v>
      </c>
      <c r="J53" s="113">
        <f>IF(C10="SS",VLOOKUP("SS",SPFA,4,FALSE),IF(C10="No.1",VLOOKUP("No.1",SPFA,4,FALSE),IF(C10="No.2",VLOOKUP("No.2",SPFA,4,FALSE),IF(C10="No.3",VLOOKUP("No.3",SPFA,4,FALSE),VLOOKUP("Stud",SPFA,4,FALSE)))))</f>
        <v>9500</v>
      </c>
      <c r="K53" s="113">
        <f>IF(C10="construction",VLOOKUP("construction",SPFB,4,FALSE),VLOOKUP("Standard",SPFB,4,FALSE))</f>
        <v>8000</v>
      </c>
      <c r="L53" s="113">
        <f>IF(C10="SS",VLOOKUP("SS",SPFC,4,FALSE),IF(C10="No.1",VLOOKUP("No.1",SPFC,4,FALSE),VLOOKUP("No.2",SPFC,4,FALSE)))</f>
        <v>6500</v>
      </c>
      <c r="M53" s="113">
        <f>IF(C10="SS",VLOOKUP("SS",SPFD,4,FALSE),IF(C10="No.1",VLOOKUP("No.1",SPFD,4,FALSE),VLOOKUP("No.2",SPFD,4,FALSE)))</f>
        <v>6500</v>
      </c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16.5">
      <c r="A54" s="5" t="s">
        <v>57</v>
      </c>
      <c r="B54" s="6" t="s">
        <v>58</v>
      </c>
      <c r="C54" s="28">
        <f>ABS(1.25*(C31*C18/2)+1.5*(C33*C18/2)+0.4*(C34*C18/2))</f>
        <v>0.75</v>
      </c>
      <c r="D54" s="28">
        <f>1.25*(C31*C18*C18/8)+1.5*(C33*C18*C18/8)+0.4*(C34*C18*C18/8)</f>
        <v>0.75</v>
      </c>
      <c r="E54" s="5">
        <v>1.1499999999999999</v>
      </c>
      <c r="F54" s="116"/>
      <c r="G54" s="115">
        <f>IF(F22=1,H54,H56)</f>
        <v>1.3735507597500001</v>
      </c>
      <c r="H54" s="115" t="e">
        <f>F29*B79*C20*F27*F22/1000000</f>
        <v>#VALUE!</v>
      </c>
      <c r="I54" s="113" t="s">
        <v>202</v>
      </c>
      <c r="J54" s="113">
        <f>IF(C10="SS",VLOOKUP("SS",NA,4,FALSE),IF(C10="No.1",VLOOKUP("No.1",NA,4,FALSE),IF(C10="No.2",VLOOKUP("No.2",NA,4,FALSE),IF(C10="No.3",VLOOKUP("No.3",NA,4,FALSE),VLOOKUP("Stud",NA,4,FALSE)))))</f>
        <v>7000</v>
      </c>
      <c r="K54" s="113">
        <f>IF(C10="construction",VLOOKUP("construction",NB,4,FALSE),VLOOKUP("Standard",NB,4,FALSE))</f>
        <v>6000</v>
      </c>
      <c r="L54" s="113">
        <f>IF(C10="SS",VLOOKUP("SS",NC,4,FALSE),IF(C10="No.1",VLOOKUP("No.1",NC,4,FALSE),VLOOKUP("No.2",NC,4,FALSE)))</f>
        <v>6000</v>
      </c>
      <c r="M54" s="113">
        <f>IF(C10="SS",VLOOKUP("SS",ND,4,FALSE),IF(C10="No.1",VLOOKUP("No.1",ND,4,FALSE),VLOOKUP("No.2",ND,4,FALSE)))</f>
        <v>6000</v>
      </c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16.5">
      <c r="A55" s="5" t="s">
        <v>59</v>
      </c>
      <c r="B55" s="6" t="s">
        <v>60</v>
      </c>
      <c r="C55" s="28">
        <f>ABS(0.9*(C31*C18/2)+1.5*(C33*C18/2))</f>
        <v>0.54</v>
      </c>
      <c r="D55" s="28">
        <f>0.9*(C31*C18*C18/8)+1.5*(C33*C18*C18/8)</f>
        <v>0.54</v>
      </c>
      <c r="E55" s="5">
        <v>1</v>
      </c>
      <c r="F55" s="116"/>
      <c r="G55" s="115"/>
      <c r="H55" s="115" t="s">
        <v>249</v>
      </c>
      <c r="I55" s="113"/>
      <c r="J55" s="113">
        <f>IF(C9="northern species",J54,IF(C9="S-P-F",J53,IF(C9="Hem-Fir",J52,J51)))</f>
        <v>9500</v>
      </c>
      <c r="K55" s="113">
        <f>IF(C9="northern species",K54,IF(C9="S-P-F",K53,IF(C9="Hem-Fir",K52,K51)))</f>
        <v>8000</v>
      </c>
      <c r="L55" s="113">
        <f>IF(C9="northern species",L54,IF(C9="S-P-F",L53,IF(C9="Hem-Fir",L52,L51)))</f>
        <v>6500</v>
      </c>
      <c r="M55" s="113">
        <f>IF(C9="northern species",M54,IF(C9="S-P-F",M53,IF(C9="Hem-Fir",M52,M51)))</f>
        <v>6500</v>
      </c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16.5">
      <c r="A56" s="5" t="s">
        <v>61</v>
      </c>
      <c r="B56" s="6" t="s">
        <v>62</v>
      </c>
      <c r="C56" s="28">
        <f>ABS(0.9*(C31*C18/2)+1.5*(C33*C18/2)+0.5*(C32*C18/2))</f>
        <v>0.74</v>
      </c>
      <c r="D56" s="28">
        <f>0.9*(C31*C18*C18/8)+1.5*(C33*C18*C18/8)+0.5*(C32*C18*C18/8)</f>
        <v>0.74</v>
      </c>
      <c r="E56" s="5">
        <v>1</v>
      </c>
      <c r="F56" s="116"/>
      <c r="G56" s="115"/>
      <c r="H56" s="115">
        <f>F29*B79*C20*F27*G79/1000000</f>
        <v>1.3735507597500001</v>
      </c>
      <c r="I56" s="106"/>
      <c r="J56" s="106"/>
      <c r="K56" s="106"/>
      <c r="L56" s="106"/>
      <c r="M56" s="106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16.5">
      <c r="A57" s="5" t="s">
        <v>63</v>
      </c>
      <c r="B57" s="6" t="s">
        <v>64</v>
      </c>
      <c r="C57" s="28">
        <f>ABS(0.9*(C31*C18/2)+1.5*(C33*C18/2)+0.4*(C34*C18/2))</f>
        <v>0.54</v>
      </c>
      <c r="D57" s="28">
        <f>0.9*(C31*C18*C18/8)+1.5*(C33*C18*C18/8)+0.4*(C34*C18*C18/8)</f>
        <v>0.54</v>
      </c>
      <c r="E57" s="5">
        <v>1.1499999999999999</v>
      </c>
      <c r="F57" s="116"/>
      <c r="G57" s="115"/>
      <c r="H57" s="115"/>
      <c r="I57" s="106"/>
      <c r="J57" s="106"/>
      <c r="K57" s="106"/>
      <c r="L57" s="106"/>
      <c r="M57" s="106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16.5">
      <c r="A58" s="5" t="s">
        <v>65</v>
      </c>
      <c r="B58" s="6" t="s">
        <v>66</v>
      </c>
      <c r="C58" s="28">
        <f>ABS(1.25*(C31*C18/2)+1.4*(C34*C18/2))</f>
        <v>0.75</v>
      </c>
      <c r="D58" s="28">
        <f>1.25*(C31*C18*C18/8)+1.4*(C34*C18*C18/8)</f>
        <v>0.75</v>
      </c>
      <c r="E58" s="5">
        <v>1.1499999999999999</v>
      </c>
      <c r="F58" s="116"/>
      <c r="G58" s="115"/>
      <c r="H58" s="115"/>
      <c r="I58" s="106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16.5">
      <c r="A59" s="5" t="s">
        <v>67</v>
      </c>
      <c r="B59" s="6" t="s">
        <v>68</v>
      </c>
      <c r="C59" s="28">
        <f>ABS(1.25*(C31*C18/2)+1.4*(C34*C18/2)+0.5*(C32*C18/2))</f>
        <v>0.95</v>
      </c>
      <c r="D59" s="28">
        <f>1.25*(C31*C18*C18/8)+1.4*(C34*C18*C18/8)+0.5*(C32*C18*C18/8)</f>
        <v>0.95</v>
      </c>
      <c r="E59" s="5">
        <v>1.1499999999999999</v>
      </c>
      <c r="F59" s="116"/>
      <c r="G59" s="115"/>
      <c r="H59" s="115"/>
      <c r="I59" s="106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16.5">
      <c r="A60" s="5" t="s">
        <v>69</v>
      </c>
      <c r="B60" s="6" t="s">
        <v>70</v>
      </c>
      <c r="C60" s="28">
        <f>ABS(1.25*(C31*C18/2)+1.4*(C34*C18/2)+0.5*(C33*C18/2))</f>
        <v>0.75</v>
      </c>
      <c r="D60" s="28">
        <f>1.25*(C31*C18*C18/8)+1.4*(C34*C18*C18/8)+0.5*(C33*C18*C18/8)</f>
        <v>0.75</v>
      </c>
      <c r="E60" s="5">
        <v>1.1499999999999999</v>
      </c>
      <c r="F60" s="116"/>
      <c r="G60" s="115"/>
      <c r="H60" s="115"/>
      <c r="I60" s="106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16.5">
      <c r="A61" s="5" t="s">
        <v>71</v>
      </c>
      <c r="B61" s="6" t="s">
        <v>72</v>
      </c>
      <c r="C61" s="28">
        <f>ABS(0.9*(C31*C18/2)+1.4*(C34*C18/2))</f>
        <v>0.54</v>
      </c>
      <c r="D61" s="28">
        <f>0.9*(C31*C18*C18/8)+1.4*(C34*C18*C18/8)</f>
        <v>0.54</v>
      </c>
      <c r="E61" s="5">
        <v>1.1499999999999999</v>
      </c>
      <c r="F61" s="116"/>
      <c r="G61" s="115"/>
      <c r="H61" s="115"/>
      <c r="I61" s="106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16.5">
      <c r="A62" s="5" t="s">
        <v>73</v>
      </c>
      <c r="B62" s="6" t="s">
        <v>74</v>
      </c>
      <c r="C62" s="28">
        <f>ABS(0.9*(C31*C18/2)+1.4*(C34*C18/2)+0.5*(C32*C18/2))</f>
        <v>0.74</v>
      </c>
      <c r="D62" s="28">
        <f>0.9*(C31*C18*C18/8)+1.4*(C34*C18*C18/8)+0.5*(C32*C18*C18/8)</f>
        <v>0.74</v>
      </c>
      <c r="E62" s="5">
        <v>1.1499999999999999</v>
      </c>
      <c r="F62" s="116" t="s">
        <v>261</v>
      </c>
      <c r="G62" s="116"/>
      <c r="H62" s="116"/>
      <c r="I62" s="109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16.5">
      <c r="A63" s="5" t="s">
        <v>75</v>
      </c>
      <c r="B63" s="6" t="s">
        <v>76</v>
      </c>
      <c r="C63" s="28">
        <f>ABS(0.9*(C31*C18/2)+1.4*(C34*C18/2)+0.5*(C33*C18/2))</f>
        <v>0.54</v>
      </c>
      <c r="D63" s="28">
        <f>0.9*(C31*C18*C18/8)+1.4*(C34*C18*C18/8)+0.5*(C33*C18*C18/8)</f>
        <v>0.54</v>
      </c>
      <c r="E63" s="5">
        <v>1.1499999999999999</v>
      </c>
      <c r="F63" s="116"/>
      <c r="G63" s="116">
        <f>IF(AND(C17/C16&lt;=4,C25="no intermediate support"),1,IF(AND(C17/C16&lt;=5,C25="Held in line by purlins or tie rods"),1,IF(AND(C17/C16&lt;=6.5,C25="Direct connection of decking/joists spaced within 610mm"),1,IF(AND(C17/C16&lt;=7.5,C25="direct connection of decking/joists spaced within 610mm and adequate bridging/blocking at interval"),1,IF(AND(C17/C16&lt;=9,C25="both edges are held in line"),1,C18)))))</f>
        <v>4</v>
      </c>
      <c r="H63" s="116" t="s">
        <v>262</v>
      </c>
      <c r="I63" s="109">
        <f>IF(C25="not satisfied", C27,G63)</f>
        <v>4</v>
      </c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16.5">
      <c r="A64" s="5" t="s">
        <v>77</v>
      </c>
      <c r="B64" s="6" t="s">
        <v>78</v>
      </c>
      <c r="C64" s="28">
        <f>ABS(1*(C31*C18/2)+1*(C35*C18/2))</f>
        <v>0.6</v>
      </c>
      <c r="D64" s="28">
        <f>1*(C31*C18*C18/8)+1*(C35*C18*C18/8)</f>
        <v>0.6</v>
      </c>
      <c r="E64" s="5">
        <v>1.1499999999999999</v>
      </c>
      <c r="F64" s="116" t="s">
        <v>260</v>
      </c>
      <c r="G64" s="116" t="str">
        <f>IF(C25="not satisfied", C27,"KL depends on condition and ratio")</f>
        <v>KL depends on condition and ratio</v>
      </c>
      <c r="H64" s="116"/>
      <c r="I64" s="109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16.5">
      <c r="A65" s="5" t="s">
        <v>79</v>
      </c>
      <c r="B65" s="6" t="s">
        <v>80</v>
      </c>
      <c r="C65" s="28">
        <f>ABS(1*(C31*C18/2)+1*(C35*C18/2)+0.5*(C32*C18/2))</f>
        <v>0.8</v>
      </c>
      <c r="D65" s="28">
        <f>1*(C31*C18*C18/8)+1*(C35*C18*C18/8)+0.5*(C32*C18*C18/8)</f>
        <v>0.8</v>
      </c>
      <c r="E65" s="5">
        <v>1.1499999999999999</v>
      </c>
      <c r="F65" s="122"/>
      <c r="G65" s="123"/>
      <c r="H65" s="123"/>
      <c r="I65" s="106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s="11" customFormat="1" ht="16.5">
      <c r="A66" s="7" t="s">
        <v>81</v>
      </c>
      <c r="B66" s="8" t="s">
        <v>82</v>
      </c>
      <c r="C66" s="28">
        <f>ABS(1*(C31*C18/2)+1*(C35*C18/2)+0.25*(C33*C18/2))</f>
        <v>0.6</v>
      </c>
      <c r="D66" s="28">
        <f>1*(C31*C18*C18/8)+1*(C35*C18*C18/8)+0.25*(C33*C18*C18/8)</f>
        <v>0.6</v>
      </c>
      <c r="E66" s="7">
        <v>1.1499999999999999</v>
      </c>
      <c r="F66" s="94"/>
      <c r="G66" s="10"/>
      <c r="H66" s="10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</row>
    <row r="67" spans="1:60" s="11" customFormat="1" ht="17.25" thickBot="1">
      <c r="A67" s="68"/>
      <c r="B67" s="68"/>
      <c r="C67" s="68"/>
      <c r="D67" s="68"/>
      <c r="E67" s="68"/>
      <c r="F67" s="95"/>
      <c r="G67" s="68"/>
      <c r="H67" s="68"/>
      <c r="I67" s="110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</row>
    <row r="68" spans="1:60" s="11" customFormat="1" ht="16.5">
      <c r="A68" s="133" t="s">
        <v>128</v>
      </c>
      <c r="B68" s="133"/>
      <c r="C68" s="133"/>
      <c r="D68" s="133"/>
      <c r="E68" s="133"/>
      <c r="F68" s="69"/>
      <c r="G68" s="10"/>
      <c r="H68" s="10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4"/>
      <c r="U68" s="84"/>
      <c r="V68" s="84"/>
      <c r="W68" s="84"/>
      <c r="X68" s="84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</row>
    <row r="69" spans="1:60" s="11" customFormat="1" ht="16.5">
      <c r="A69" s="125" t="s">
        <v>129</v>
      </c>
      <c r="B69" s="125"/>
      <c r="C69" s="125"/>
      <c r="D69" s="27" t="s">
        <v>255</v>
      </c>
      <c r="E69" s="27">
        <f>0.9</f>
        <v>0.9</v>
      </c>
      <c r="H69" s="10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4"/>
      <c r="U69" s="84"/>
      <c r="V69" s="84"/>
      <c r="W69" s="84"/>
      <c r="X69" s="84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</row>
    <row r="70" spans="1:60" s="11" customFormat="1" ht="16.5">
      <c r="A70" s="27" t="s">
        <v>130</v>
      </c>
      <c r="B70" s="27">
        <f>1.92*1000*I63</f>
        <v>7680</v>
      </c>
      <c r="C70" s="27"/>
      <c r="D70" s="27" t="s">
        <v>267</v>
      </c>
      <c r="E70" s="27">
        <f>C20</f>
        <v>214421.33333333334</v>
      </c>
      <c r="H70" s="10"/>
      <c r="I70" s="83"/>
      <c r="J70" s="83"/>
      <c r="K70" s="83"/>
      <c r="L70" s="83"/>
      <c r="M70" s="83"/>
      <c r="N70" s="83"/>
      <c r="O70" s="83"/>
      <c r="P70" s="106"/>
      <c r="Q70" s="106"/>
      <c r="R70" s="106" t="s">
        <v>276</v>
      </c>
      <c r="S70" s="106"/>
      <c r="T70" s="107" t="s">
        <v>278</v>
      </c>
      <c r="U70" s="107" t="s">
        <v>279</v>
      </c>
      <c r="V70" s="107" t="s">
        <v>281</v>
      </c>
      <c r="W70" s="107" t="s">
        <v>280</v>
      </c>
      <c r="X70" s="107" t="s">
        <v>299</v>
      </c>
      <c r="Y70" s="93" t="s">
        <v>300</v>
      </c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</row>
    <row r="71" spans="1:60" s="11" customFormat="1" ht="16.5">
      <c r="A71" s="27" t="s">
        <v>131</v>
      </c>
      <c r="B71" s="27">
        <f>SQRT(B70*C17/(C16^2))</f>
        <v>31.282822098537615</v>
      </c>
      <c r="C71" s="27"/>
      <c r="D71" s="27" t="s">
        <v>256</v>
      </c>
      <c r="E71" s="80" t="str">
        <f>F22</f>
        <v>0.786 ,0.544, 0.473</v>
      </c>
      <c r="F71" s="27"/>
      <c r="G71" s="27"/>
      <c r="H71" s="10"/>
      <c r="I71" s="83"/>
      <c r="J71" s="83"/>
      <c r="K71" s="83"/>
      <c r="L71" s="83"/>
      <c r="M71" s="83"/>
      <c r="N71" s="83"/>
      <c r="O71" s="83"/>
      <c r="P71" s="108" t="s">
        <v>275</v>
      </c>
      <c r="Q71" s="106" t="str">
        <f t="shared" ref="Q71:Q81" si="0">IF(AND(MAX(A83,B83)&lt;=89,OR($C$10="SS",$C$10="No.1",$C$10="No.2",$C$10="No.3")),"Structural light framing",IF(MAX(A83,B83)&gt;=114,"Structural joist and planks"))</f>
        <v>Structural light framing</v>
      </c>
      <c r="R71" s="106">
        <f t="shared" ref="R71:R81" si="1">IF(AND(MIN(A83,B83)&gt;=114,ABS(A83-B83)&gt;51),"Beam and Stringer",IF(AND(MIN(A83,B83)&gt;=114,ABS(A83-B83)&lt;=51),"Post and timber",))</f>
        <v>0</v>
      </c>
      <c r="S71" s="106" t="str">
        <f t="shared" ref="S71:S81" si="2">IF(AND(OR($C$10="SS",$C$10="No.1",$C$10="No.2",$C$10="No.3"),MIN(A83,B83)&lt;=89),Q71,IF(AND(OR($C$10="SS",$C$10="No.1",$C$10="No.2"),MIN(A83,B83)&gt;=114),R71))</f>
        <v>Structural light framing</v>
      </c>
      <c r="T71" s="107">
        <f t="shared" ref="T71:T81" si="3">IF(AND($C$12="Wet Condition",MIN(A83,B83)&lt;=89),0.84,1)</f>
        <v>0.84</v>
      </c>
      <c r="U71" s="107">
        <f t="shared" ref="U71:U81" si="4">IF(AND($C$12="Wet Condition",MIN(A83,B83)&lt;=89),0.96,1)</f>
        <v>0.96</v>
      </c>
      <c r="V71" s="107">
        <f t="shared" ref="V71:V81" si="5">IF(AND($C$12="Wet Condition",MIN(A83,B83)&lt;=89),0.94,1)</f>
        <v>0.94</v>
      </c>
      <c r="W71" s="107">
        <f t="shared" ref="W71:W81" si="6">IF(G83="light framing",$K$55,IF(G83="beam and stringer",$L$55,IF(G83="post and timber",$M$55,IF(OR(G83="structural joist and planks",G83="Stud",G83="structural light framing"),$J$55))))</f>
        <v>9500</v>
      </c>
      <c r="X71" s="107">
        <f t="shared" ref="X71:X81" si="7">IF(G83="light framing",$J$31,IF(G83="beam and stringer",$K$31,IF(G83="post and timber",$L$31,IF(OR(G83="structural joist and planks",G83="Stud",G83="structural light framing"),$I$31))))</f>
        <v>11.8</v>
      </c>
      <c r="Y71" s="93">
        <f t="shared" ref="Y71:Y81" si="8">IF(G83="light framing",$K$48,IF(G83="beam and stringer",$L$48,IF(G83="post and timber",$M$48,IF(OR(G83="structural joist and planks",G83="Stud",G83="structural light framing"),$J$48))))</f>
        <v>1.5</v>
      </c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</row>
    <row r="72" spans="1:60" s="11" customFormat="1" ht="16.5">
      <c r="A72" s="27" t="s">
        <v>134</v>
      </c>
      <c r="B72" s="27">
        <v>1</v>
      </c>
      <c r="C72" s="27" t="s">
        <v>224</v>
      </c>
      <c r="D72" s="27" t="s">
        <v>257</v>
      </c>
      <c r="E72" s="27">
        <f>F27</f>
        <v>1.2</v>
      </c>
      <c r="F72" s="10"/>
      <c r="I72" s="84"/>
      <c r="J72" s="83"/>
      <c r="K72" s="83"/>
      <c r="L72" s="83"/>
      <c r="M72" s="83"/>
      <c r="N72" s="83"/>
      <c r="O72" s="83"/>
      <c r="P72" s="108" t="s">
        <v>282</v>
      </c>
      <c r="Q72" s="106" t="str">
        <f t="shared" si="0"/>
        <v>Structural light framing</v>
      </c>
      <c r="R72" s="106">
        <f t="shared" si="1"/>
        <v>0</v>
      </c>
      <c r="S72" s="106" t="str">
        <f t="shared" si="2"/>
        <v>Structural light framing</v>
      </c>
      <c r="T72" s="107">
        <f t="shared" si="3"/>
        <v>0.84</v>
      </c>
      <c r="U72" s="107">
        <f t="shared" si="4"/>
        <v>0.96</v>
      </c>
      <c r="V72" s="107">
        <f t="shared" si="5"/>
        <v>0.94</v>
      </c>
      <c r="W72" s="107">
        <f t="shared" si="6"/>
        <v>9500</v>
      </c>
      <c r="X72" s="107">
        <f t="shared" si="7"/>
        <v>11.8</v>
      </c>
      <c r="Y72" s="93">
        <f t="shared" si="8"/>
        <v>1.5</v>
      </c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</row>
    <row r="73" spans="1:60" s="11" customFormat="1" ht="16.5">
      <c r="D73" s="27" t="s">
        <v>258</v>
      </c>
      <c r="E73" s="27">
        <f>F25</f>
        <v>1.2</v>
      </c>
      <c r="I73" s="84"/>
      <c r="J73" s="84"/>
      <c r="K73" s="84"/>
      <c r="L73" s="83"/>
      <c r="M73" s="83"/>
      <c r="N73" s="83"/>
      <c r="O73" s="83"/>
      <c r="P73" s="108" t="s">
        <v>283</v>
      </c>
      <c r="Q73" s="106" t="str">
        <f t="shared" si="0"/>
        <v>Structural light framing</v>
      </c>
      <c r="R73" s="106">
        <f t="shared" si="1"/>
        <v>0</v>
      </c>
      <c r="S73" s="106" t="str">
        <f t="shared" si="2"/>
        <v>Structural light framing</v>
      </c>
      <c r="T73" s="107">
        <f t="shared" si="3"/>
        <v>0.84</v>
      </c>
      <c r="U73" s="107">
        <f t="shared" si="4"/>
        <v>0.96</v>
      </c>
      <c r="V73" s="107">
        <f t="shared" si="5"/>
        <v>0.94</v>
      </c>
      <c r="W73" s="107">
        <f t="shared" si="6"/>
        <v>9500</v>
      </c>
      <c r="X73" s="107">
        <f t="shared" si="7"/>
        <v>11.8</v>
      </c>
      <c r="Y73" s="93">
        <f t="shared" si="8"/>
        <v>1.5</v>
      </c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</row>
    <row r="74" spans="1:60" s="11" customFormat="1" ht="16.5">
      <c r="D74" s="27" t="s">
        <v>266</v>
      </c>
      <c r="E74" s="27">
        <f>C19</f>
        <v>6992</v>
      </c>
      <c r="I74" s="84"/>
      <c r="J74" s="84"/>
      <c r="K74" s="84"/>
      <c r="L74" s="83"/>
      <c r="M74" s="83"/>
      <c r="N74" s="83"/>
      <c r="O74" s="83"/>
      <c r="P74" s="108" t="s">
        <v>284</v>
      </c>
      <c r="Q74" s="106" t="str">
        <f t="shared" si="0"/>
        <v>Structural joist and planks</v>
      </c>
      <c r="R74" s="106">
        <f t="shared" si="1"/>
        <v>0</v>
      </c>
      <c r="S74" s="106" t="str">
        <f t="shared" si="2"/>
        <v>Structural joist and planks</v>
      </c>
      <c r="T74" s="107">
        <f t="shared" si="3"/>
        <v>0.84</v>
      </c>
      <c r="U74" s="107">
        <f t="shared" si="4"/>
        <v>0.96</v>
      </c>
      <c r="V74" s="107">
        <f t="shared" si="5"/>
        <v>0.94</v>
      </c>
      <c r="W74" s="107">
        <f t="shared" si="6"/>
        <v>9500</v>
      </c>
      <c r="X74" s="107">
        <f t="shared" si="7"/>
        <v>11.8</v>
      </c>
      <c r="Y74" s="93">
        <f t="shared" si="8"/>
        <v>1.5</v>
      </c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</row>
    <row r="75" spans="1:60" s="11" customFormat="1" ht="16.5">
      <c r="G75" s="70" t="s">
        <v>218</v>
      </c>
      <c r="H75" s="70" t="s">
        <v>216</v>
      </c>
      <c r="I75" s="101" t="s">
        <v>217</v>
      </c>
      <c r="J75" s="84"/>
      <c r="K75" s="84"/>
      <c r="L75" s="83"/>
      <c r="M75" s="83"/>
      <c r="N75" s="83"/>
      <c r="O75" s="83"/>
      <c r="P75" s="108" t="s">
        <v>285</v>
      </c>
      <c r="Q75" s="106" t="str">
        <f t="shared" si="0"/>
        <v>Structural joist and planks</v>
      </c>
      <c r="R75" s="106">
        <f t="shared" si="1"/>
        <v>0</v>
      </c>
      <c r="S75" s="106" t="str">
        <f t="shared" si="2"/>
        <v>Structural joist and planks</v>
      </c>
      <c r="T75" s="107">
        <f t="shared" si="3"/>
        <v>0.84</v>
      </c>
      <c r="U75" s="107">
        <f t="shared" si="4"/>
        <v>0.96</v>
      </c>
      <c r="V75" s="107">
        <f t="shared" si="5"/>
        <v>0.94</v>
      </c>
      <c r="W75" s="107">
        <f t="shared" si="6"/>
        <v>9500</v>
      </c>
      <c r="X75" s="107">
        <f t="shared" si="7"/>
        <v>11.8</v>
      </c>
      <c r="Y75" s="93">
        <f t="shared" si="8"/>
        <v>1.5</v>
      </c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</row>
    <row r="76" spans="1:60" s="11" customFormat="1" ht="17.25" thickBot="1">
      <c r="A76" s="76"/>
      <c r="B76" s="77" t="s">
        <v>208</v>
      </c>
      <c r="C76" s="131" t="s">
        <v>209</v>
      </c>
      <c r="D76" s="131"/>
      <c r="E76" s="78" t="s">
        <v>140</v>
      </c>
      <c r="F76" s="78" t="s">
        <v>141</v>
      </c>
      <c r="G76" s="79" t="s">
        <v>94</v>
      </c>
      <c r="H76" s="78" t="s">
        <v>144</v>
      </c>
      <c r="I76" s="79" t="s">
        <v>145</v>
      </c>
      <c r="J76" s="106" t="s">
        <v>214</v>
      </c>
      <c r="K76" s="106" t="s">
        <v>215</v>
      </c>
      <c r="L76" s="106"/>
      <c r="M76" s="83"/>
      <c r="N76" s="83"/>
      <c r="O76" s="83"/>
      <c r="P76" s="108" t="s">
        <v>286</v>
      </c>
      <c r="Q76" s="106" t="str">
        <f t="shared" si="0"/>
        <v>Structural joist and planks</v>
      </c>
      <c r="R76" s="106">
        <f t="shared" si="1"/>
        <v>0</v>
      </c>
      <c r="S76" s="106" t="str">
        <f t="shared" si="2"/>
        <v>Structural joist and planks</v>
      </c>
      <c r="T76" s="107">
        <f t="shared" si="3"/>
        <v>0.84</v>
      </c>
      <c r="U76" s="107">
        <f t="shared" si="4"/>
        <v>0.96</v>
      </c>
      <c r="V76" s="107">
        <f t="shared" si="5"/>
        <v>0.94</v>
      </c>
      <c r="W76" s="107">
        <f t="shared" si="6"/>
        <v>9500</v>
      </c>
      <c r="X76" s="107">
        <f t="shared" si="7"/>
        <v>11.8</v>
      </c>
      <c r="Y76" s="93">
        <f t="shared" si="8"/>
        <v>1.5</v>
      </c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</row>
    <row r="77" spans="1:60" s="11" customFormat="1" ht="17.25" thickTop="1">
      <c r="A77" s="62" t="s">
        <v>251</v>
      </c>
      <c r="B77" s="63">
        <f>F17*F18*F19*F20*E45</f>
        <v>7.0870800000000012</v>
      </c>
      <c r="C77" s="64">
        <f>F17*F18*F19*F21*E45</f>
        <v>7.0870800000000012</v>
      </c>
      <c r="D77" s="64"/>
      <c r="E77" s="63">
        <f>F23*F18*F24*F20*E45</f>
        <v>1.0296000000000001</v>
      </c>
      <c r="F77" s="65">
        <f>SQRT(0.97*F28*F26*F21/C77)</f>
        <v>34.960523648304203</v>
      </c>
      <c r="G77" s="66">
        <f>IF(B71&lt;=10,1,IF(AND(B71&gt;10,B71&lt;=F77),J77,IF(AND(B71&gt;F77,B71&lt;=50),K77,)))</f>
        <v>0.78630678702761259</v>
      </c>
      <c r="H77" s="66">
        <f>$F$29*E77*2*$C$19*$F$25/(3*1000)</f>
        <v>5.1832535040000005</v>
      </c>
      <c r="I77" s="90">
        <f>IF(F22=1,H45,H47)</f>
        <v>1.2904794919616518</v>
      </c>
      <c r="J77" s="106">
        <f>1-((B71/F77)^4)/3</f>
        <v>0.78630678702761259</v>
      </c>
      <c r="K77" s="106">
        <f>0.65*F28*F26*F21/((B71^2)*1*C77)</f>
        <v>0.83692324554232722</v>
      </c>
      <c r="L77" s="106"/>
      <c r="M77" s="83"/>
      <c r="N77" s="83"/>
      <c r="O77" s="83"/>
      <c r="P77" s="108" t="s">
        <v>287</v>
      </c>
      <c r="Q77" s="106" t="str">
        <f t="shared" si="0"/>
        <v>Structural joist and planks</v>
      </c>
      <c r="R77" s="106">
        <f t="shared" si="1"/>
        <v>0</v>
      </c>
      <c r="S77" s="106" t="str">
        <f t="shared" si="2"/>
        <v>Structural joist and planks</v>
      </c>
      <c r="T77" s="107">
        <f t="shared" si="3"/>
        <v>0.84</v>
      </c>
      <c r="U77" s="107">
        <f t="shared" si="4"/>
        <v>0.96</v>
      </c>
      <c r="V77" s="107">
        <f t="shared" si="5"/>
        <v>0.94</v>
      </c>
      <c r="W77" s="107">
        <f t="shared" si="6"/>
        <v>9500</v>
      </c>
      <c r="X77" s="107">
        <f t="shared" si="7"/>
        <v>11.8</v>
      </c>
      <c r="Y77" s="93">
        <f t="shared" si="8"/>
        <v>1.5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</row>
    <row r="78" spans="1:60" s="11" customFormat="1" ht="16.5">
      <c r="A78" s="62" t="s">
        <v>252</v>
      </c>
      <c r="B78" s="63">
        <f>F17*F18*F19*F20*E46</f>
        <v>10.903200000000002</v>
      </c>
      <c r="C78" s="64">
        <f>F17*F18*F19*F21*E46</f>
        <v>10.903200000000002</v>
      </c>
      <c r="D78" s="64"/>
      <c r="E78" s="63">
        <f>F23*F18*F24*F20*E46</f>
        <v>1.5840000000000001</v>
      </c>
      <c r="F78" s="65">
        <f>SQRT(0.97*F28*F26*F21/C78)</f>
        <v>28.186075266811521</v>
      </c>
      <c r="G78" s="66">
        <f>IF(B71&lt;=10,1,IF(AND(B71&gt;10,B71&lt;=F78),J78,IF(AND(B71&gt;F78,B71&lt;=50),K78,)))</f>
        <v>0.54400010960251266</v>
      </c>
      <c r="H78" s="66">
        <f>$F$29*E78*2*$C$19*$F$25/(3*1000)</f>
        <v>7.974236160000002</v>
      </c>
      <c r="I78" s="90">
        <f>IF(F22=1,H50,H52)</f>
        <v>1.3735507597500005</v>
      </c>
      <c r="J78" s="106">
        <f>1-((B71/F78)^4)/3</f>
        <v>0.49421724740263306</v>
      </c>
      <c r="K78" s="106">
        <f>0.65*F28*F26*F21/((B71^2)*1*C78)</f>
        <v>0.54400010960251266</v>
      </c>
      <c r="L78" s="106"/>
      <c r="M78" s="83"/>
      <c r="N78" s="83"/>
      <c r="O78" s="83"/>
      <c r="P78" s="108" t="s">
        <v>288</v>
      </c>
      <c r="Q78" s="106" t="str">
        <f t="shared" si="0"/>
        <v>Structural joist and planks</v>
      </c>
      <c r="R78" s="106">
        <f t="shared" si="1"/>
        <v>0</v>
      </c>
      <c r="S78" s="106" t="str">
        <f t="shared" si="2"/>
        <v>Structural joist and planks</v>
      </c>
      <c r="T78" s="107">
        <f t="shared" si="3"/>
        <v>0.84</v>
      </c>
      <c r="U78" s="107">
        <f t="shared" si="4"/>
        <v>0.96</v>
      </c>
      <c r="V78" s="107">
        <f t="shared" si="5"/>
        <v>0.94</v>
      </c>
      <c r="W78" s="107">
        <f t="shared" si="6"/>
        <v>9500</v>
      </c>
      <c r="X78" s="107">
        <f t="shared" si="7"/>
        <v>11.8</v>
      </c>
      <c r="Y78" s="93">
        <f t="shared" si="8"/>
        <v>1.5</v>
      </c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</row>
    <row r="79" spans="1:60" s="11" customFormat="1" ht="16.5">
      <c r="A79" s="62" t="s">
        <v>253</v>
      </c>
      <c r="B79" s="63">
        <f>F17*F18*F19*F20*E48</f>
        <v>12.538680000000001</v>
      </c>
      <c r="C79" s="64">
        <f>F17*F18*F19*F21*E48</f>
        <v>12.538680000000001</v>
      </c>
      <c r="D79" s="64"/>
      <c r="E79" s="63">
        <f>F23*F18*F24*F20*E48</f>
        <v>1.8215999999999999</v>
      </c>
      <c r="F79" s="65">
        <f>SQRT(0.97*F28*F26*F21/C79)</f>
        <v>26.28365071172513</v>
      </c>
      <c r="G79" s="66">
        <f>IF(B71&lt;=10,1,IF(AND(B71&gt;10,B71&lt;=F79),J79,IF(AND(B71&gt;F79,B71&lt;=50),K79,)))</f>
        <v>0.47304357356740229</v>
      </c>
      <c r="H79" s="66">
        <f>$F$29*E79*2*$C$19*$F$25/(3*1000)</f>
        <v>9.1703715839999997</v>
      </c>
      <c r="I79" s="90">
        <f>IF(F22=1,H54,H56)</f>
        <v>1.3735507597500001</v>
      </c>
      <c r="J79" s="106">
        <f>1-((B71/F79)^4)/3</f>
        <v>0.33110230968998211</v>
      </c>
      <c r="K79" s="106">
        <f>0.65*F28*F26*F21/((B71^2)*1*C79)</f>
        <v>0.47304357356740229</v>
      </c>
      <c r="L79" s="106"/>
      <c r="M79" s="83"/>
      <c r="N79" s="83"/>
      <c r="O79" s="83"/>
      <c r="P79" s="108" t="s">
        <v>289</v>
      </c>
      <c r="Q79" s="106" t="str">
        <f t="shared" si="0"/>
        <v>Structural joist and planks</v>
      </c>
      <c r="R79" s="106">
        <f t="shared" si="1"/>
        <v>0</v>
      </c>
      <c r="S79" s="106" t="str">
        <f t="shared" si="2"/>
        <v>Structural joist and planks</v>
      </c>
      <c r="T79" s="107">
        <f t="shared" si="3"/>
        <v>0.84</v>
      </c>
      <c r="U79" s="107">
        <f t="shared" si="4"/>
        <v>0.96</v>
      </c>
      <c r="V79" s="107">
        <f t="shared" si="5"/>
        <v>0.94</v>
      </c>
      <c r="W79" s="107">
        <f t="shared" si="6"/>
        <v>9500</v>
      </c>
      <c r="X79" s="107">
        <f t="shared" si="7"/>
        <v>11.8</v>
      </c>
      <c r="Y79" s="93">
        <f t="shared" si="8"/>
        <v>1.5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</row>
    <row r="80" spans="1:60" s="11" customFormat="1" ht="16.5">
      <c r="A80" s="62"/>
      <c r="I80" s="84"/>
      <c r="J80" s="109"/>
      <c r="K80" s="109"/>
      <c r="L80" s="106"/>
      <c r="M80" s="83"/>
      <c r="N80" s="83"/>
      <c r="O80" s="83"/>
      <c r="P80" s="108" t="s">
        <v>290</v>
      </c>
      <c r="Q80" s="106" t="str">
        <f t="shared" si="0"/>
        <v>Structural joist and planks</v>
      </c>
      <c r="R80" s="106">
        <f t="shared" si="1"/>
        <v>0</v>
      </c>
      <c r="S80" s="106" t="str">
        <f t="shared" si="2"/>
        <v>Structural joist and planks</v>
      </c>
      <c r="T80" s="107">
        <f t="shared" si="3"/>
        <v>0.84</v>
      </c>
      <c r="U80" s="107">
        <f t="shared" si="4"/>
        <v>0.96</v>
      </c>
      <c r="V80" s="107">
        <f t="shared" si="5"/>
        <v>0.94</v>
      </c>
      <c r="W80" s="107">
        <f t="shared" si="6"/>
        <v>9500</v>
      </c>
      <c r="X80" s="107">
        <f t="shared" si="7"/>
        <v>11.8</v>
      </c>
      <c r="Y80" s="93">
        <f t="shared" si="8"/>
        <v>1.5</v>
      </c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</row>
    <row r="81" spans="1:60" s="11" customFormat="1" ht="17.25" thickBot="1">
      <c r="A81" s="128" t="s">
        <v>298</v>
      </c>
      <c r="B81" s="128"/>
      <c r="C81" s="128"/>
      <c r="D81" s="128"/>
      <c r="E81" s="128"/>
      <c r="F81" s="86"/>
      <c r="G81" s="86"/>
      <c r="H81" s="86"/>
      <c r="I81" s="102"/>
      <c r="J81" s="110"/>
      <c r="K81" s="110"/>
      <c r="L81" s="110"/>
      <c r="M81" s="110"/>
      <c r="N81" s="110"/>
      <c r="O81" s="110"/>
      <c r="P81" s="108" t="s">
        <v>291</v>
      </c>
      <c r="Q81" s="106" t="str">
        <f t="shared" si="0"/>
        <v>Structural joist and planks</v>
      </c>
      <c r="R81" s="106">
        <f t="shared" si="1"/>
        <v>0</v>
      </c>
      <c r="S81" s="106" t="str">
        <f t="shared" si="2"/>
        <v>Structural joist and planks</v>
      </c>
      <c r="T81" s="107">
        <f t="shared" si="3"/>
        <v>0.84</v>
      </c>
      <c r="U81" s="107">
        <f t="shared" si="4"/>
        <v>0.96</v>
      </c>
      <c r="V81" s="107">
        <f t="shared" si="5"/>
        <v>0.94</v>
      </c>
      <c r="W81" s="107">
        <f t="shared" si="6"/>
        <v>9500</v>
      </c>
      <c r="X81" s="107">
        <f t="shared" si="7"/>
        <v>11.8</v>
      </c>
      <c r="Y81" s="93">
        <f t="shared" si="8"/>
        <v>1.5</v>
      </c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</row>
    <row r="82" spans="1:60" s="11" customFormat="1" ht="16.5">
      <c r="A82" s="67" t="s">
        <v>272</v>
      </c>
      <c r="B82" s="63" t="s">
        <v>271</v>
      </c>
      <c r="C82" s="63" t="s">
        <v>270</v>
      </c>
      <c r="D82" s="63" t="s">
        <v>269</v>
      </c>
      <c r="E82" s="63" t="s">
        <v>268</v>
      </c>
      <c r="F82" s="65" t="s">
        <v>273</v>
      </c>
      <c r="G82" s="66" t="s">
        <v>274</v>
      </c>
      <c r="H82" s="63" t="s">
        <v>277</v>
      </c>
      <c r="I82" s="89" t="s">
        <v>301</v>
      </c>
      <c r="J82" s="89" t="s">
        <v>293</v>
      </c>
      <c r="K82" s="89" t="s">
        <v>296</v>
      </c>
      <c r="L82" s="89" t="s">
        <v>294</v>
      </c>
      <c r="M82" s="89" t="s">
        <v>302</v>
      </c>
      <c r="N82" s="89" t="s">
        <v>297</v>
      </c>
      <c r="O82" s="89" t="s">
        <v>295</v>
      </c>
      <c r="P82" s="83"/>
      <c r="Q82" s="83"/>
      <c r="R82" s="83"/>
      <c r="S82" s="83"/>
      <c r="T82" s="83"/>
      <c r="U82" s="83"/>
      <c r="V82" s="83"/>
      <c r="W82" s="83"/>
      <c r="X82" s="83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</row>
    <row r="83" spans="1:60" s="11" customFormat="1" ht="16.5">
      <c r="A83" s="63">
        <f>$C$16</f>
        <v>38</v>
      </c>
      <c r="B83" s="63">
        <v>38</v>
      </c>
      <c r="C83" s="63">
        <f>A83*B83</f>
        <v>1444</v>
      </c>
      <c r="D83" s="87">
        <f>A83*(B83^2)/6</f>
        <v>9145.3333333333339</v>
      </c>
      <c r="E83" s="87">
        <f>A83*(B83^3)/12</f>
        <v>173761.33333333334</v>
      </c>
      <c r="F83" s="65">
        <f t="shared" ref="F83:F93" si="9">V71*W71*$F$21</f>
        <v>8930</v>
      </c>
      <c r="G83" s="66" t="str">
        <f t="shared" ref="G83:G93" si="10">IF(AND(MIN(A83,B83)&lt;=89,MAX(A83,B83)&lt;=89,OR($C$10="Construction",$C$10="Standard")),"Light framing",IF(AND($C$10="Stud",MIN(A83,B83)&lt;=89),"Stud",IF(AND(MIN(A83,B83)&lt;=89,MAX(A83,B83)&gt;=140,OR($C$10="select",$C$10="Commercial")),"Plank decking",S71)))</f>
        <v>Structural light framing</v>
      </c>
      <c r="H83" s="63">
        <f>X71*1*$F$18*T71*$F$20</f>
        <v>10.903200000000002</v>
      </c>
      <c r="I83" s="103">
        <f>Y71*1*$F$18*U71*$F$20</f>
        <v>1.5840000000000001</v>
      </c>
      <c r="J83" s="89">
        <f>IF(MIN(A83,B83)&lt;=64,VLOOKUP(MAX(A83,B83),Kztable,2,FALSE),IF(AND(MIN(Design!A83,Design!B83)&gt;=89,MIN(Design!A83,Design!B83)&lt;=102),VLOOKUP(MAX(Design!A83,Design!B83),Kztable,3,FALSE),VLOOKUP(MAX(Design!A83,Design!B83),Kztable,4,FALSE)))</f>
        <v>1.7</v>
      </c>
      <c r="K83" s="104">
        <f t="shared" ref="K83:K93" si="11">IF(AND(B83/A83&lt;=4,$C$25="no intermediate support"),1,IF(AND(B83/A83&lt;=5,$C$25="Held in line by purlins or tie rods"),1,IF(AND(B83/A83&lt;=6.5,$C$25="Direct connection of decking/joists spaced within 610mm"),1,IF(AND(B83/A83&lt;=7.5,$C$25="direct connection of decking/joists spaced within 610mm and adequate bridging/blocking at interval"),1,IF(AND(B83/A83&lt;=9,$C$25="both edges are held in line"),1,T115)))))</f>
        <v>1</v>
      </c>
      <c r="L83" s="90">
        <f t="shared" ref="L83:L93" si="12">5*($C$31+$C$32+$C$33+$C$34+$C$35)*(($C$18*1000)^4)/(384*F83*E83)</f>
        <v>1074.0985994845546</v>
      </c>
      <c r="M83" s="91">
        <f t="shared" ref="M83:M93" si="13">5*$C$32*(($C$18*1000)^4)/(384*E83*F83)</f>
        <v>429.63943979382185</v>
      </c>
      <c r="N83" s="91">
        <f>0.9*I83*C83*2*J83/(3*1000)</f>
        <v>2.3330419199999999</v>
      </c>
      <c r="O83" s="91">
        <f>0.9*H83*D83*J83*K83/1000000</f>
        <v>0.15256149955200002</v>
      </c>
      <c r="P83" s="83"/>
      <c r="Q83" s="83"/>
      <c r="R83" s="83"/>
      <c r="S83" s="83"/>
      <c r="T83" s="83"/>
      <c r="U83" s="83"/>
      <c r="V83" s="83"/>
      <c r="W83" s="83"/>
      <c r="X83" s="83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</row>
    <row r="84" spans="1:60" s="11" customFormat="1" ht="16.5">
      <c r="A84" s="63">
        <f t="shared" ref="A84:A93" si="14">$C$16</f>
        <v>38</v>
      </c>
      <c r="B84" s="63">
        <v>64</v>
      </c>
      <c r="C84" s="63">
        <f t="shared" ref="C84:C93" si="15">A84*B84</f>
        <v>2432</v>
      </c>
      <c r="D84" s="87">
        <f t="shared" ref="D84:D93" si="16">A84*(B84^2)/6</f>
        <v>25941.333333333332</v>
      </c>
      <c r="E84" s="87">
        <f t="shared" ref="E84:E93" si="17">A84*(B84^3)/12</f>
        <v>830122.66666666663</v>
      </c>
      <c r="F84" s="65">
        <f t="shared" si="9"/>
        <v>8930</v>
      </c>
      <c r="G84" s="66" t="str">
        <f t="shared" si="10"/>
        <v>Structural light framing</v>
      </c>
      <c r="H84" s="63">
        <f t="shared" ref="H84:H93" si="18">X72*1*$F$18*T72*$F$20</f>
        <v>10.903200000000002</v>
      </c>
      <c r="I84" s="103">
        <f t="shared" ref="I84:I93" si="19">Y72*1*$F$18*U72*$F$20</f>
        <v>1.5840000000000001</v>
      </c>
      <c r="J84" s="89">
        <f>IF(MIN(A84,B84)&lt;=64,VLOOKUP(MAX(A84,B84),Kztable,2,FALSE),IF(AND(MIN(Design!A84,Design!B84)&gt;=89,MIN(Design!A84,Design!B84)&lt;=102),VLOOKUP(MAX(Design!A84,Design!B84),Kztable,3,FALSE),VLOOKUP(MAX(Design!A84,Design!B84),Kztable,4,FALSE)))</f>
        <v>1.7</v>
      </c>
      <c r="K84" s="104">
        <f t="shared" si="11"/>
        <v>1</v>
      </c>
      <c r="L84" s="90">
        <f t="shared" si="12"/>
        <v>224.83039226881593</v>
      </c>
      <c r="M84" s="91">
        <f t="shared" si="13"/>
        <v>89.932156907526377</v>
      </c>
      <c r="N84" s="91">
        <f t="shared" ref="N84:N93" si="20">0.9*I84*C84*2*J84/(3*1000)</f>
        <v>3.9293337600000009</v>
      </c>
      <c r="O84" s="91">
        <f t="shared" ref="O84:O93" si="21">0.9*H84*D84*J84*K84/1000000</f>
        <v>0.43275062476800003</v>
      </c>
      <c r="P84" s="83"/>
      <c r="Q84" s="83"/>
      <c r="R84" s="83"/>
      <c r="S84" s="83"/>
      <c r="T84" s="83"/>
      <c r="U84" s="83"/>
      <c r="V84" s="83"/>
      <c r="W84" s="83"/>
      <c r="X84" s="83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</row>
    <row r="85" spans="1:60" s="11" customFormat="1" ht="16.5">
      <c r="A85" s="63">
        <f t="shared" si="14"/>
        <v>38</v>
      </c>
      <c r="B85" s="63">
        <v>89</v>
      </c>
      <c r="C85" s="63">
        <f t="shared" si="15"/>
        <v>3382</v>
      </c>
      <c r="D85" s="87">
        <f t="shared" si="16"/>
        <v>50166.333333333336</v>
      </c>
      <c r="E85" s="87">
        <f t="shared" si="17"/>
        <v>2232401.8333333335</v>
      </c>
      <c r="F85" s="65">
        <f t="shared" si="9"/>
        <v>8930</v>
      </c>
      <c r="G85" s="66" t="str">
        <f t="shared" si="10"/>
        <v>Structural light framing</v>
      </c>
      <c r="H85" s="63">
        <f t="shared" si="18"/>
        <v>10.903200000000002</v>
      </c>
      <c r="I85" s="103">
        <f t="shared" si="19"/>
        <v>1.5840000000000001</v>
      </c>
      <c r="J85" s="89">
        <f>IF(MIN(A85,B85)&lt;=64,VLOOKUP(MAX(A85,B85),Kztable,2,FALSE),IF(AND(MIN(Design!A85,Design!B85)&gt;=89,MIN(Design!A85,Design!B85)&lt;=102),VLOOKUP(MAX(Design!A85,Design!B85),Kztable,3,FALSE),VLOOKUP(MAX(Design!A85,Design!B85),Kztable,4,FALSE)))</f>
        <v>1.7</v>
      </c>
      <c r="K85" s="104">
        <f t="shared" si="11"/>
        <v>1</v>
      </c>
      <c r="L85" s="90">
        <f t="shared" si="12"/>
        <v>83.603588740663028</v>
      </c>
      <c r="M85" s="91">
        <f t="shared" si="13"/>
        <v>33.441435496265214</v>
      </c>
      <c r="N85" s="91">
        <f t="shared" si="20"/>
        <v>5.4642297600000012</v>
      </c>
      <c r="O85" s="91">
        <f t="shared" si="21"/>
        <v>0.83686955536800023</v>
      </c>
      <c r="P85" s="83"/>
      <c r="Q85" s="83"/>
      <c r="R85" s="83"/>
      <c r="S85" s="83"/>
      <c r="T85" s="83"/>
      <c r="U85" s="83"/>
      <c r="V85" s="83"/>
      <c r="W85" s="83"/>
      <c r="X85" s="83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</row>
    <row r="86" spans="1:60" ht="16.5">
      <c r="A86" s="63">
        <f t="shared" si="14"/>
        <v>38</v>
      </c>
      <c r="B86" s="63">
        <v>140</v>
      </c>
      <c r="C86" s="63">
        <f t="shared" si="15"/>
        <v>5320</v>
      </c>
      <c r="D86" s="87">
        <f t="shared" si="16"/>
        <v>124133.33333333333</v>
      </c>
      <c r="E86" s="87">
        <f t="shared" si="17"/>
        <v>8689333.333333334</v>
      </c>
      <c r="F86" s="65">
        <f t="shared" si="9"/>
        <v>8930</v>
      </c>
      <c r="G86" s="66" t="str">
        <f t="shared" si="10"/>
        <v>Structural joist and planks</v>
      </c>
      <c r="H86" s="63">
        <f t="shared" si="18"/>
        <v>10.903200000000002</v>
      </c>
      <c r="I86" s="103">
        <f t="shared" si="19"/>
        <v>1.5840000000000001</v>
      </c>
      <c r="J86" s="89">
        <f>IF(MIN(A86,B86)&lt;=64,VLOOKUP(MAX(A86,B86),Kztable,2,FALSE),IF(AND(MIN(Design!A86,Design!B86)&gt;=89,MIN(Design!A86,Design!B86)&lt;=102),VLOOKUP(MAX(Design!A86,Design!B86),Kztable,3,FALSE),VLOOKUP(MAX(Design!A86,Design!B86),Kztable,4,FALSE)))</f>
        <v>1.4</v>
      </c>
      <c r="K86" s="104">
        <f t="shared" si="11"/>
        <v>1</v>
      </c>
      <c r="L86" s="90">
        <f t="shared" si="12"/>
        <v>21.478840506893761</v>
      </c>
      <c r="M86" s="91">
        <f t="shared" si="13"/>
        <v>8.5915362027575046</v>
      </c>
      <c r="N86" s="91">
        <f t="shared" si="20"/>
        <v>7.0785792000000001</v>
      </c>
      <c r="O86" s="91">
        <f t="shared" si="21"/>
        <v>1.7053477056000002</v>
      </c>
      <c r="P86" s="83"/>
      <c r="Q86" s="83"/>
      <c r="R86" s="83"/>
      <c r="S86" s="83"/>
      <c r="T86" s="83"/>
      <c r="U86" s="83"/>
      <c r="V86" s="83"/>
      <c r="W86" s="83"/>
      <c r="X86" s="83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</row>
    <row r="87" spans="1:60" ht="16.5">
      <c r="A87" s="63">
        <f t="shared" si="14"/>
        <v>38</v>
      </c>
      <c r="B87" s="63">
        <v>184</v>
      </c>
      <c r="C87" s="63">
        <f t="shared" si="15"/>
        <v>6992</v>
      </c>
      <c r="D87" s="87">
        <f t="shared" si="16"/>
        <v>214421.33333333334</v>
      </c>
      <c r="E87" s="87">
        <f t="shared" si="17"/>
        <v>19726762.666666668</v>
      </c>
      <c r="F87" s="65">
        <f t="shared" si="9"/>
        <v>8930</v>
      </c>
      <c r="G87" s="66" t="str">
        <f t="shared" si="10"/>
        <v>Structural joist and planks</v>
      </c>
      <c r="H87" s="63">
        <f t="shared" si="18"/>
        <v>10.903200000000002</v>
      </c>
      <c r="I87" s="103">
        <f t="shared" si="19"/>
        <v>1.5840000000000001</v>
      </c>
      <c r="J87" s="89">
        <f>IF(MIN(A87,B87)&lt;=64,VLOOKUP(MAX(A87,B87),Kztable,2,FALSE),IF(AND(MIN(Design!A87,Design!B87)&gt;=89,MIN(Design!A87,Design!B87)&lt;=102),VLOOKUP(MAX(Design!A87,Design!B87),Kztable,3,FALSE),VLOOKUP(MAX(Design!A87,Design!B87),Kztable,4,FALSE)))</f>
        <v>1.2</v>
      </c>
      <c r="K87" s="104">
        <f t="shared" si="11"/>
        <v>0.54400010960251266</v>
      </c>
      <c r="L87" s="90">
        <f t="shared" si="12"/>
        <v>9.4610964774910613</v>
      </c>
      <c r="M87" s="91">
        <f t="shared" si="13"/>
        <v>3.7844385909964249</v>
      </c>
      <c r="N87" s="91">
        <f t="shared" si="20"/>
        <v>7.974236160000002</v>
      </c>
      <c r="O87" s="91">
        <f t="shared" si="21"/>
        <v>1.3735507597500005</v>
      </c>
      <c r="P87" s="83"/>
      <c r="Q87" s="83"/>
      <c r="R87" s="83"/>
      <c r="S87" s="83"/>
      <c r="T87" s="83"/>
      <c r="U87" s="83"/>
      <c r="V87" s="83"/>
      <c r="W87" s="83"/>
      <c r="X87" s="83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</row>
    <row r="88" spans="1:60" ht="16.5">
      <c r="A88" s="63">
        <f t="shared" si="14"/>
        <v>38</v>
      </c>
      <c r="B88" s="63">
        <v>191</v>
      </c>
      <c r="C88" s="63">
        <f t="shared" si="15"/>
        <v>7258</v>
      </c>
      <c r="D88" s="87">
        <f t="shared" si="16"/>
        <v>231046.33333333334</v>
      </c>
      <c r="E88" s="87">
        <f t="shared" si="17"/>
        <v>22064924.833333332</v>
      </c>
      <c r="F88" s="65">
        <f t="shared" si="9"/>
        <v>8930</v>
      </c>
      <c r="G88" s="66" t="str">
        <f t="shared" si="10"/>
        <v>Structural joist and planks</v>
      </c>
      <c r="H88" s="63">
        <f t="shared" si="18"/>
        <v>10.903200000000002</v>
      </c>
      <c r="I88" s="103">
        <f t="shared" si="19"/>
        <v>1.5840000000000001</v>
      </c>
      <c r="J88" s="89">
        <f>IF(MIN(A88,B88)&lt;=64,VLOOKUP(MAX(A88,B88),Kztable,2,FALSE),IF(AND(MIN(Design!A88,Design!B88)&gt;=89,MIN(Design!A88,Design!B88)&lt;=102),VLOOKUP(MAX(Design!A88,Design!B88),Kztable,3,FALSE),VLOOKUP(MAX(Design!A88,Design!B88),Kztable,4,FALSE)))</f>
        <v>1.2</v>
      </c>
      <c r="K88" s="104">
        <f t="shared" si="11"/>
        <v>0.52406293281079741</v>
      </c>
      <c r="L88" s="90">
        <f t="shared" si="12"/>
        <v>8.4585289180750447</v>
      </c>
      <c r="M88" s="91">
        <f t="shared" si="13"/>
        <v>3.3834115672300182</v>
      </c>
      <c r="N88" s="91">
        <f t="shared" si="20"/>
        <v>8.2776038399999994</v>
      </c>
      <c r="O88" s="91">
        <f t="shared" si="21"/>
        <v>1.4258054082187501</v>
      </c>
      <c r="P88" s="83"/>
      <c r="Q88" s="83"/>
      <c r="R88" s="83"/>
      <c r="S88" s="83"/>
      <c r="T88" s="83"/>
      <c r="U88" s="83"/>
      <c r="V88" s="83"/>
      <c r="W88" s="83"/>
      <c r="X88" s="83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</row>
    <row r="89" spans="1:60" ht="16.5">
      <c r="A89" s="63">
        <f t="shared" si="14"/>
        <v>38</v>
      </c>
      <c r="B89" s="63">
        <v>235</v>
      </c>
      <c r="C89" s="63">
        <f t="shared" si="15"/>
        <v>8930</v>
      </c>
      <c r="D89" s="87">
        <f t="shared" si="16"/>
        <v>349758.33333333331</v>
      </c>
      <c r="E89" s="87">
        <f t="shared" si="17"/>
        <v>41096604.166666664</v>
      </c>
      <c r="F89" s="65">
        <f t="shared" si="9"/>
        <v>8930</v>
      </c>
      <c r="G89" s="66" t="str">
        <f t="shared" si="10"/>
        <v>Structural joist and planks</v>
      </c>
      <c r="H89" s="63">
        <f t="shared" si="18"/>
        <v>10.903200000000002</v>
      </c>
      <c r="I89" s="103">
        <f t="shared" si="19"/>
        <v>1.5840000000000001</v>
      </c>
      <c r="J89" s="89">
        <f>IF(MIN(A89,B89)&lt;=64,VLOOKUP(MAX(A89,B89),Kztable,2,FALSE),IF(AND(MIN(Design!A89,Design!B89)&gt;=89,MIN(Design!A89,Design!B89)&lt;=102),VLOOKUP(MAX(Design!A89,Design!B89),Kztable,3,FALSE),VLOOKUP(MAX(Design!A89,Design!B89),Kztable,4,FALSE)))</f>
        <v>1.1000000000000001</v>
      </c>
      <c r="K89" s="104">
        <f t="shared" si="11"/>
        <v>0.42594051134835031</v>
      </c>
      <c r="L89" s="90">
        <f t="shared" si="12"/>
        <v>4.5414167073512797</v>
      </c>
      <c r="M89" s="91">
        <f t="shared" si="13"/>
        <v>1.8165666829405118</v>
      </c>
      <c r="N89" s="91">
        <f t="shared" si="20"/>
        <v>9.3357792000000028</v>
      </c>
      <c r="O89" s="91">
        <f t="shared" si="21"/>
        <v>1.6080745987109379</v>
      </c>
      <c r="P89" s="83"/>
      <c r="Q89" s="83"/>
      <c r="R89" s="83"/>
      <c r="S89" s="83"/>
      <c r="T89" s="83"/>
      <c r="U89" s="83"/>
      <c r="V89" s="83"/>
      <c r="W89" s="83"/>
      <c r="X89" s="83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</row>
    <row r="90" spans="1:60" ht="16.5">
      <c r="A90" s="63">
        <f t="shared" si="14"/>
        <v>38</v>
      </c>
      <c r="B90" s="63">
        <v>241</v>
      </c>
      <c r="C90" s="63">
        <f t="shared" si="15"/>
        <v>9158</v>
      </c>
      <c r="D90" s="87">
        <f t="shared" si="16"/>
        <v>367846.33333333331</v>
      </c>
      <c r="E90" s="87">
        <f t="shared" si="17"/>
        <v>44325483.166666664</v>
      </c>
      <c r="F90" s="65">
        <f t="shared" si="9"/>
        <v>8930</v>
      </c>
      <c r="G90" s="66" t="str">
        <f t="shared" si="10"/>
        <v>Structural joist and planks</v>
      </c>
      <c r="H90" s="63">
        <f t="shared" si="18"/>
        <v>10.903200000000002</v>
      </c>
      <c r="I90" s="103">
        <f t="shared" si="19"/>
        <v>1.5840000000000001</v>
      </c>
      <c r="J90" s="89">
        <f>IF(MIN(A90,B90)&lt;=64,VLOOKUP(MAX(A90,B90),Kztable,2,FALSE),IF(AND(MIN(Design!A90,Design!B90)&gt;=89,MIN(Design!A90,Design!B90)&lt;=102),VLOOKUP(MAX(Design!A90,Design!B90),Kztable,3,FALSE),VLOOKUP(MAX(Design!A90,Design!B90),Kztable,4,FALSE)))</f>
        <v>1.1000000000000001</v>
      </c>
      <c r="K90" s="104">
        <f t="shared" si="11"/>
        <v>0.41533618326498895</v>
      </c>
      <c r="L90" s="90">
        <f t="shared" si="12"/>
        <v>4.2105983160101337</v>
      </c>
      <c r="M90" s="91">
        <f t="shared" si="13"/>
        <v>1.6842393264040536</v>
      </c>
      <c r="N90" s="91">
        <f t="shared" si="20"/>
        <v>9.574139520000001</v>
      </c>
      <c r="O90" s="91">
        <f t="shared" si="21"/>
        <v>1.6491318225078129</v>
      </c>
      <c r="P90" s="83"/>
      <c r="Q90" s="83"/>
      <c r="R90" s="83"/>
      <c r="S90" s="83"/>
      <c r="T90" s="83"/>
      <c r="U90" s="83"/>
      <c r="V90" s="83"/>
      <c r="W90" s="83"/>
      <c r="X90" s="83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</row>
    <row r="91" spans="1:60" ht="16.5">
      <c r="A91" s="63">
        <f t="shared" si="14"/>
        <v>38</v>
      </c>
      <c r="B91" s="63">
        <v>286</v>
      </c>
      <c r="C91" s="63">
        <f t="shared" si="15"/>
        <v>10868</v>
      </c>
      <c r="D91" s="87">
        <f t="shared" si="16"/>
        <v>518041.33333333331</v>
      </c>
      <c r="E91" s="87">
        <f t="shared" si="17"/>
        <v>74079910.666666672</v>
      </c>
      <c r="F91" s="65">
        <f t="shared" si="9"/>
        <v>8930</v>
      </c>
      <c r="G91" s="66" t="str">
        <f t="shared" si="10"/>
        <v>Structural joist and planks</v>
      </c>
      <c r="H91" s="63">
        <f t="shared" si="18"/>
        <v>10.903200000000002</v>
      </c>
      <c r="I91" s="103">
        <f t="shared" si="19"/>
        <v>1.5840000000000001</v>
      </c>
      <c r="J91" s="89">
        <f>IF(MIN(A91,B91)&lt;=64,VLOOKUP(MAX(A91,B91),Kztable,2,FALSE),IF(AND(MIN(Design!A91,Design!B91)&gt;=89,MIN(Design!A91,Design!B91)&lt;=102),VLOOKUP(MAX(Design!A91,Design!B91),Kztable,3,FALSE),VLOOKUP(MAX(Design!A91,Design!B91),Kztable,4,FALSE)))</f>
        <v>1</v>
      </c>
      <c r="K91" s="104">
        <f t="shared" si="11"/>
        <v>0.34998608449951851</v>
      </c>
      <c r="L91" s="90">
        <f t="shared" si="12"/>
        <v>2.5193983510280087</v>
      </c>
      <c r="M91" s="91">
        <f t="shared" si="13"/>
        <v>1.0077593404112035</v>
      </c>
      <c r="N91" s="91">
        <f t="shared" si="20"/>
        <v>10.328947200000002</v>
      </c>
      <c r="O91" s="91">
        <f t="shared" si="21"/>
        <v>1.7791463645312495</v>
      </c>
      <c r="P91" s="83"/>
      <c r="Q91" s="83"/>
      <c r="R91" s="83"/>
      <c r="S91" s="83"/>
      <c r="T91" s="83"/>
      <c r="U91" s="83"/>
      <c r="V91" s="83"/>
      <c r="W91" s="83"/>
      <c r="X91" s="83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</row>
    <row r="92" spans="1:60" ht="16.5">
      <c r="A92" s="63">
        <f t="shared" si="14"/>
        <v>38</v>
      </c>
      <c r="B92" s="34">
        <v>343</v>
      </c>
      <c r="C92" s="63">
        <f t="shared" si="15"/>
        <v>13034</v>
      </c>
      <c r="D92" s="87">
        <f t="shared" si="16"/>
        <v>745110.33333333337</v>
      </c>
      <c r="E92" s="87">
        <f t="shared" si="17"/>
        <v>127786422.16666667</v>
      </c>
      <c r="F92" s="65">
        <f t="shared" si="9"/>
        <v>8930</v>
      </c>
      <c r="G92" s="66" t="str">
        <f t="shared" si="10"/>
        <v>Structural joist and planks</v>
      </c>
      <c r="H92" s="63">
        <f t="shared" si="18"/>
        <v>10.903200000000002</v>
      </c>
      <c r="I92" s="103">
        <f t="shared" si="19"/>
        <v>1.5840000000000001</v>
      </c>
      <c r="J92" s="89">
        <f>IF(MIN(A92,B92)&lt;=64,VLOOKUP(MAX(A92,B92),Kztable,2,FALSE),IF(AND(MIN(Design!A92,Design!B92)&gt;=89,MIN(Design!A92,Design!B92)&lt;=102),VLOOKUP(MAX(Design!A92,Design!B92),Kztable,3,FALSE),VLOOKUP(MAX(Design!A92,Design!B92),Kztable,4,FALSE)))</f>
        <v>0.9</v>
      </c>
      <c r="K92" s="104">
        <f t="shared" si="11"/>
        <v>0.29182513168181429</v>
      </c>
      <c r="L92" s="90">
        <f t="shared" si="12"/>
        <v>1.4605370556073582</v>
      </c>
      <c r="M92" s="91">
        <f t="shared" si="13"/>
        <v>0.5842148222429433</v>
      </c>
      <c r="N92" s="91">
        <f t="shared" si="20"/>
        <v>11.148762240000002</v>
      </c>
      <c r="O92" s="91">
        <f t="shared" si="21"/>
        <v>1.9203583312265624</v>
      </c>
      <c r="P92" s="83"/>
      <c r="Q92" s="83"/>
      <c r="R92" s="83"/>
      <c r="S92" s="83"/>
      <c r="T92" s="83"/>
      <c r="U92" s="83"/>
      <c r="V92" s="83"/>
      <c r="W92" s="83"/>
      <c r="X92" s="83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</row>
    <row r="93" spans="1:60" ht="16.5">
      <c r="A93" s="63">
        <f t="shared" si="14"/>
        <v>38</v>
      </c>
      <c r="B93" s="34">
        <v>394</v>
      </c>
      <c r="C93" s="63">
        <f t="shared" si="15"/>
        <v>14972</v>
      </c>
      <c r="D93" s="87">
        <f t="shared" si="16"/>
        <v>983161.33333333337</v>
      </c>
      <c r="E93" s="87">
        <f t="shared" si="17"/>
        <v>193682782.66666666</v>
      </c>
      <c r="F93" s="65">
        <f t="shared" si="9"/>
        <v>8930</v>
      </c>
      <c r="G93" s="66" t="str">
        <f t="shared" si="10"/>
        <v>Structural joist and planks</v>
      </c>
      <c r="H93" s="63">
        <f t="shared" si="18"/>
        <v>10.903200000000002</v>
      </c>
      <c r="I93" s="103">
        <f t="shared" si="19"/>
        <v>1.5840000000000001</v>
      </c>
      <c r="J93" s="89">
        <f>IF(MIN(A93,B93)&lt;=64,VLOOKUP(MAX(A93,B93),Kztable,2,FALSE),IF(AND(MIN(Design!A93,Design!B93)&gt;=89,MIN(Design!A93,Design!B93)&lt;=102),VLOOKUP(MAX(Design!A93,Design!B93),Kztable,3,FALSE),VLOOKUP(MAX(Design!A93,Design!B93),Kztable,4,FALSE)))</f>
        <v>0.8</v>
      </c>
      <c r="K93" s="104">
        <f t="shared" si="11"/>
        <v>0.25405081260624951</v>
      </c>
      <c r="L93" s="90">
        <f t="shared" si="12"/>
        <v>0.96362104162407258</v>
      </c>
      <c r="M93" s="91">
        <f t="shared" si="13"/>
        <v>0.38544841664962903</v>
      </c>
      <c r="N93" s="91">
        <f t="shared" si="20"/>
        <v>11.383511040000002</v>
      </c>
      <c r="O93" s="91">
        <f t="shared" si="21"/>
        <v>1.9607934758750001</v>
      </c>
      <c r="P93" s="83"/>
      <c r="Q93" s="83"/>
      <c r="R93" s="83"/>
      <c r="S93" s="83"/>
      <c r="T93" s="83"/>
      <c r="U93" s="83"/>
      <c r="V93" s="83"/>
      <c r="W93" s="83"/>
      <c r="X93" s="83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</row>
    <row r="94" spans="1:60" ht="16.5">
      <c r="A94" s="1"/>
      <c r="B94" s="1"/>
      <c r="C94" s="1"/>
      <c r="D94" s="1"/>
      <c r="E94" s="1"/>
      <c r="F94" s="65"/>
      <c r="G94" s="59"/>
      <c r="H94" s="59"/>
      <c r="I94" s="105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</row>
    <row r="95" spans="1:60" ht="16.5">
      <c r="A95" s="67"/>
      <c r="B95" s="63"/>
      <c r="C95" s="64"/>
      <c r="D95" s="64"/>
      <c r="E95" s="63"/>
      <c r="F95" s="65"/>
      <c r="G95" s="59"/>
      <c r="H95" s="59"/>
      <c r="I95" s="105"/>
      <c r="J95" s="83"/>
      <c r="K95" s="84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</row>
    <row r="96" spans="1:60" ht="16.5">
      <c r="A96" s="1"/>
      <c r="I96" s="84"/>
      <c r="J96" s="84"/>
      <c r="K96" s="84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10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</row>
    <row r="97" spans="1:60" ht="16.5">
      <c r="I97" s="84"/>
      <c r="J97" s="84"/>
      <c r="K97" s="84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10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</row>
    <row r="98" spans="1:60" ht="16.5">
      <c r="I98" s="84"/>
      <c r="J98" s="84"/>
      <c r="K98" s="84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10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</row>
    <row r="99" spans="1:60" ht="16.5">
      <c r="I99" s="84"/>
      <c r="J99" s="84"/>
      <c r="K99" s="84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10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</row>
    <row r="100" spans="1:60" ht="16.5">
      <c r="I100" s="84"/>
      <c r="J100" s="84"/>
      <c r="K100" s="84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10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</row>
    <row r="101" spans="1:60" ht="16.5">
      <c r="I101" s="84"/>
      <c r="J101" s="84"/>
      <c r="K101" s="84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10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</row>
    <row r="102" spans="1:60" ht="16.5">
      <c r="I102" s="84"/>
      <c r="J102" s="84"/>
      <c r="K102" s="84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10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ht="16.5">
      <c r="I103" s="84"/>
      <c r="J103" s="84"/>
      <c r="K103" s="84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10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ht="16.5">
      <c r="I104" s="84"/>
      <c r="J104" s="84"/>
      <c r="K104" s="84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10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ht="16.5">
      <c r="I105" s="84"/>
      <c r="J105" s="84"/>
      <c r="K105" s="84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10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ht="16.5">
      <c r="I106" s="84"/>
      <c r="J106" s="84"/>
      <c r="K106" s="84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10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ht="16.5">
      <c r="I107" s="84"/>
      <c r="J107" s="84"/>
      <c r="K107" s="84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10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</row>
    <row r="108" spans="1:60" ht="16.5">
      <c r="I108" s="84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10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ht="16.5">
      <c r="F109" s="1"/>
      <c r="G109" s="1"/>
      <c r="H109" s="1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10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</row>
    <row r="110" spans="1:60" ht="16.5">
      <c r="A110" s="1"/>
      <c r="B110" s="1"/>
      <c r="C110" s="1"/>
      <c r="D110" s="1"/>
      <c r="E110" s="1"/>
      <c r="F110" s="1"/>
      <c r="G110" s="1"/>
      <c r="H110" s="1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10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ht="16.5">
      <c r="A111" s="1"/>
      <c r="B111" s="1"/>
      <c r="C111" s="1"/>
      <c r="D111" s="1"/>
      <c r="E111" s="1"/>
      <c r="F111" s="1"/>
      <c r="G111" s="1"/>
      <c r="H111" s="1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10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ht="16.5">
      <c r="B112" s="1"/>
      <c r="C112" s="1"/>
      <c r="D112" s="1"/>
      <c r="E112" s="1"/>
      <c r="F112" s="1"/>
      <c r="G112" s="1"/>
      <c r="H112" s="1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10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ht="17.25" thickBot="1">
      <c r="A113" s="127" t="s">
        <v>165</v>
      </c>
      <c r="B113" s="127"/>
      <c r="C113" s="127"/>
      <c r="D113" s="127"/>
      <c r="E113" s="127"/>
      <c r="F113" s="1"/>
      <c r="G113" s="1"/>
      <c r="H113" s="1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10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ht="16.5">
      <c r="A114" s="126" t="s">
        <v>2</v>
      </c>
      <c r="B114" s="126"/>
      <c r="C114" s="126"/>
      <c r="D114" s="126"/>
      <c r="E114" s="126"/>
      <c r="F114" s="1"/>
      <c r="G114" s="1"/>
      <c r="H114" s="1"/>
      <c r="I114" s="83"/>
      <c r="J114" s="83"/>
      <c r="K114" s="106" t="s">
        <v>317</v>
      </c>
      <c r="L114" s="106"/>
      <c r="M114" s="106"/>
      <c r="N114" s="106"/>
      <c r="O114" s="107" t="s">
        <v>304</v>
      </c>
      <c r="P114" s="106" t="s">
        <v>305</v>
      </c>
      <c r="Q114" s="106" t="s">
        <v>306</v>
      </c>
      <c r="R114" s="107" t="s">
        <v>307</v>
      </c>
      <c r="S114" s="107" t="s">
        <v>308</v>
      </c>
      <c r="T114" s="106" t="s">
        <v>309</v>
      </c>
      <c r="U114" s="106"/>
      <c r="V114" s="106"/>
      <c r="W114" s="106"/>
      <c r="X114" s="83"/>
      <c r="Y114" s="10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ht="16.5">
      <c r="A115" s="129" t="s">
        <v>3</v>
      </c>
      <c r="B115" s="129"/>
      <c r="C115" s="129"/>
      <c r="D115" s="129"/>
      <c r="E115" s="129"/>
      <c r="F115" s="1"/>
      <c r="G115" s="1"/>
      <c r="H115" s="1"/>
      <c r="I115" s="83"/>
      <c r="J115" s="83"/>
      <c r="K115" s="109" t="s">
        <v>303</v>
      </c>
      <c r="L115" s="109">
        <f t="shared" ref="L115:L125" si="22">IF(AND(B83/A83&lt;=4,$C$25="no intermediate support"),1,IF(AND(B83/A83&lt;=5,$C425="Held in line by purlins or tie rods"),1,IF(AND(B83/A83&lt;=6.5,$C$25="Direct connection of decking/joists spaced within 610mm"),1,IF(AND(B83/A83&lt;=7.5,$C$25="direct connection of decking/joists spaced within 610mm and adequate bridging/blocking at interval"),1,IF(AND(B83/A83&lt;=9,$C$25="both edges are held in line"),1,$C$18)))))</f>
        <v>1</v>
      </c>
      <c r="M115" s="109" t="str">
        <f>IF($C$25="not satisfied", $C$27,"KL depends on condition and ratio")</f>
        <v>KL depends on condition and ratio</v>
      </c>
      <c r="N115" s="109">
        <f>IF($C$25="not satisfied", $C$27,L115)</f>
        <v>1</v>
      </c>
      <c r="O115" s="109">
        <f>1.92*1000*N115</f>
        <v>1920</v>
      </c>
      <c r="P115" s="109">
        <f t="shared" ref="P115:P125" si="23">SQRT(O115*B83/(A83^2))</f>
        <v>7.1081865331091088</v>
      </c>
      <c r="Q115" s="109">
        <f t="shared" ref="Q115:Q125" si="24">SQRT(0.97*W71*V71*$F$21/H83)</f>
        <v>28.186075266811521</v>
      </c>
      <c r="R115" s="107">
        <f>1-((P115/Q115)^4)/3</f>
        <v>0.9986517340080957</v>
      </c>
      <c r="S115" s="107">
        <f t="shared" ref="S115:S125" si="25">0.65*W71*V71*$F$21/((P115^2)*H83*1)</f>
        <v>10.536423175459188</v>
      </c>
      <c r="T115" s="106">
        <f>IF(P115&lt;=10,1,IF(AND(P115&gt;10,Q115&gt;=P115),R115,IF(AND(P115&gt;Q115,50&gt;=P115),S115,not acceptable)))</f>
        <v>1</v>
      </c>
      <c r="U115" s="106"/>
      <c r="V115" s="106"/>
      <c r="W115" s="106"/>
      <c r="X115" s="83"/>
      <c r="Y115" s="10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ht="16.5">
      <c r="A116" s="1"/>
      <c r="B116" s="1"/>
      <c r="C116" s="1"/>
      <c r="D116" s="1"/>
      <c r="E116" s="1"/>
      <c r="F116" s="1"/>
      <c r="G116" s="1"/>
      <c r="H116" s="1"/>
      <c r="I116" s="83"/>
      <c r="J116" s="83"/>
      <c r="K116" s="109" t="s">
        <v>310</v>
      </c>
      <c r="L116" s="109">
        <f t="shared" si="22"/>
        <v>1</v>
      </c>
      <c r="M116" s="109" t="str">
        <f>IF($C$25="not satisfied", $C$27,"KL depends on condition and ratio")</f>
        <v>KL depends on condition and ratio</v>
      </c>
      <c r="N116" s="109">
        <f>IF($C$25="not satisfied", $C$27,L116)</f>
        <v>1</v>
      </c>
      <c r="O116" s="109">
        <f>1.92*1000*N116</f>
        <v>1920</v>
      </c>
      <c r="P116" s="109">
        <f t="shared" si="23"/>
        <v>9.2248009685080614</v>
      </c>
      <c r="Q116" s="109">
        <f t="shared" si="24"/>
        <v>28.186075266811521</v>
      </c>
      <c r="R116" s="107">
        <f>1-((P116/Q116)^4)/3</f>
        <v>0.99617555574595562</v>
      </c>
      <c r="S116" s="107">
        <f t="shared" si="25"/>
        <v>6.256001260428893</v>
      </c>
      <c r="T116" s="106">
        <f>IF(P116&lt;=10,1,IF(AND(P116&gt;10,Q116&gt;=P116),R116,IF(AND(P116&gt;Q116,50&gt;=P116),S116,not acceptable)))</f>
        <v>1</v>
      </c>
      <c r="U116" s="106"/>
      <c r="V116" s="106"/>
      <c r="W116" s="106"/>
      <c r="X116" s="83"/>
      <c r="Y116" s="10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ht="16.5">
      <c r="A117" s="1"/>
      <c r="B117" s="1"/>
      <c r="C117" s="1"/>
      <c r="D117" s="1"/>
      <c r="E117" s="1"/>
      <c r="F117" s="1"/>
      <c r="G117" s="1"/>
      <c r="H117" s="1"/>
      <c r="I117" s="83"/>
      <c r="J117" s="83"/>
      <c r="K117" s="109" t="s">
        <v>311</v>
      </c>
      <c r="L117" s="109">
        <f t="shared" si="22"/>
        <v>1</v>
      </c>
      <c r="M117" s="109" t="str">
        <f t="shared" ref="M117:M124" si="26">IF($C$25="not satisfied", $C$27,"KL depends on condition and ratio")</f>
        <v>KL depends on condition and ratio</v>
      </c>
      <c r="N117" s="109">
        <f t="shared" ref="N117:N124" si="27">IF($C$25="not satisfied", $C$27,L117)</f>
        <v>1</v>
      </c>
      <c r="O117" s="109">
        <f t="shared" ref="O117:O124" si="28">1.92*1000*N117</f>
        <v>1920</v>
      </c>
      <c r="P117" s="109">
        <f t="shared" si="23"/>
        <v>10.878324785485317</v>
      </c>
      <c r="Q117" s="109">
        <f t="shared" si="24"/>
        <v>28.186075266811521</v>
      </c>
      <c r="R117" s="107">
        <f t="shared" ref="R117:R124" si="29">1-((P117/Q117)^4)/3</f>
        <v>0.99260414479094594</v>
      </c>
      <c r="S117" s="107">
        <f t="shared" si="25"/>
        <v>4.4986975355893168</v>
      </c>
      <c r="T117" s="106">
        <f>IF(P117&lt;=10,1,IF(AND(P117&gt;10,Q117&gt;=P117),R117,IF(AND(P117&gt;Q117,50&gt;=P117),S117,not acceptable)))</f>
        <v>0.99260414479094594</v>
      </c>
      <c r="U117" s="106"/>
      <c r="V117" s="106"/>
      <c r="W117" s="106"/>
      <c r="X117" s="83"/>
      <c r="Y117" s="10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ht="16.5">
      <c r="A118" s="1"/>
      <c r="B118" s="1"/>
      <c r="C118" s="1"/>
      <c r="D118" s="1"/>
      <c r="E118" s="1"/>
      <c r="F118" s="1"/>
      <c r="G118" s="1"/>
      <c r="H118" s="1"/>
      <c r="I118" s="83"/>
      <c r="J118" s="83"/>
      <c r="K118" s="109" t="s">
        <v>312</v>
      </c>
      <c r="L118" s="109">
        <f t="shared" si="22"/>
        <v>1</v>
      </c>
      <c r="M118" s="109" t="str">
        <f t="shared" si="26"/>
        <v>KL depends on condition and ratio</v>
      </c>
      <c r="N118" s="109">
        <f t="shared" si="27"/>
        <v>1</v>
      </c>
      <c r="O118" s="109">
        <f t="shared" si="28"/>
        <v>1920</v>
      </c>
      <c r="P118" s="109">
        <f t="shared" si="23"/>
        <v>13.643664628227075</v>
      </c>
      <c r="Q118" s="109">
        <f t="shared" si="24"/>
        <v>28.186075266811521</v>
      </c>
      <c r="R118" s="107">
        <f t="shared" si="29"/>
        <v>0.98169943667498305</v>
      </c>
      <c r="S118" s="107">
        <f t="shared" si="25"/>
        <v>2.8598862904817799</v>
      </c>
      <c r="T118" s="106">
        <f>IF(P118&lt;=10,1,IF(AND(P118&gt;10,Q118&gt;=P118),R118,IF(AND(P118&gt;Q118,50&gt;=P118),S118,not acceptable)))</f>
        <v>0.98169943667498305</v>
      </c>
      <c r="U118" s="106"/>
      <c r="V118" s="106"/>
      <c r="W118" s="106"/>
      <c r="X118" s="83"/>
      <c r="Y118" s="10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ht="16.5">
      <c r="I119" s="84"/>
      <c r="J119" s="84"/>
      <c r="K119" s="109" t="s">
        <v>313</v>
      </c>
      <c r="L119" s="109">
        <f t="shared" si="22"/>
        <v>4</v>
      </c>
      <c r="M119" s="109" t="str">
        <f t="shared" si="26"/>
        <v>KL depends on condition and ratio</v>
      </c>
      <c r="N119" s="109">
        <f t="shared" si="27"/>
        <v>4</v>
      </c>
      <c r="O119" s="109">
        <f t="shared" si="28"/>
        <v>7680</v>
      </c>
      <c r="P119" s="109">
        <f t="shared" si="23"/>
        <v>31.282822098537615</v>
      </c>
      <c r="Q119" s="109">
        <f t="shared" si="24"/>
        <v>28.186075266811521</v>
      </c>
      <c r="R119" s="107">
        <f t="shared" si="29"/>
        <v>0.49421724740263306</v>
      </c>
      <c r="S119" s="107">
        <f t="shared" si="25"/>
        <v>0.54400010960251266</v>
      </c>
      <c r="T119" s="106">
        <f>IF(P119&lt;=10,1,IF(AND(P119&gt;10,Q119&gt;=P119),R119,IF(AND(P119&gt;Q119,50&gt;=P119),S119,not acceptable)))</f>
        <v>0.54400010960251266</v>
      </c>
      <c r="U119" s="106"/>
      <c r="V119" s="106"/>
      <c r="W119" s="106"/>
      <c r="X119" s="83"/>
      <c r="Y119" s="10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ht="16.5">
      <c r="I120" s="84"/>
      <c r="J120" s="84"/>
      <c r="K120" s="109" t="s">
        <v>286</v>
      </c>
      <c r="L120" s="109">
        <f t="shared" si="22"/>
        <v>4</v>
      </c>
      <c r="M120" s="109" t="str">
        <f t="shared" si="26"/>
        <v>KL depends on condition and ratio</v>
      </c>
      <c r="N120" s="109">
        <f t="shared" si="27"/>
        <v>4</v>
      </c>
      <c r="O120" s="109">
        <f t="shared" si="28"/>
        <v>7680</v>
      </c>
      <c r="P120" s="109">
        <f t="shared" si="23"/>
        <v>31.872321461516737</v>
      </c>
      <c r="Q120" s="109">
        <f t="shared" si="24"/>
        <v>28.186075266811521</v>
      </c>
      <c r="R120" s="107">
        <f t="shared" si="29"/>
        <v>0.4550017545633106</v>
      </c>
      <c r="S120" s="107">
        <f t="shared" si="25"/>
        <v>0.52406293281079741</v>
      </c>
      <c r="T120" s="106">
        <f>IF(P120&lt;=10,1,IF(AND(P120&gt;10,Q120&gt;=P120),R120,IF(AND(P120&gt;Q120,50&gt;=P120),S120,not acceptable)))</f>
        <v>0.52406293281079741</v>
      </c>
      <c r="U120" s="106"/>
      <c r="V120" s="106"/>
      <c r="W120" s="106"/>
      <c r="X120" s="83"/>
      <c r="Y120" s="10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ht="16.5">
      <c r="I121" s="84"/>
      <c r="J121" s="84"/>
      <c r="K121" s="109" t="s">
        <v>314</v>
      </c>
      <c r="L121" s="109">
        <f t="shared" si="22"/>
        <v>4</v>
      </c>
      <c r="M121" s="109" t="str">
        <f t="shared" si="26"/>
        <v>KL depends on condition and ratio</v>
      </c>
      <c r="N121" s="109">
        <f t="shared" si="27"/>
        <v>4</v>
      </c>
      <c r="O121" s="109">
        <f t="shared" si="28"/>
        <v>7680</v>
      </c>
      <c r="P121" s="109">
        <f t="shared" si="23"/>
        <v>35.353380260519295</v>
      </c>
      <c r="Q121" s="109">
        <f t="shared" si="24"/>
        <v>28.186075266811521</v>
      </c>
      <c r="R121" s="107">
        <f t="shared" si="29"/>
        <v>0.1749807268375001</v>
      </c>
      <c r="S121" s="107">
        <f t="shared" si="25"/>
        <v>0.42594051134835031</v>
      </c>
      <c r="T121" s="106">
        <f>IF(P121&lt;=10,1,IF(AND(P121&gt;10,Q121&gt;=P121),R121,IF(AND(P121&gt;Q121,50&gt;=P121),S121,not acceptable)))</f>
        <v>0.42594051134835031</v>
      </c>
      <c r="U121" s="106"/>
      <c r="V121" s="106"/>
      <c r="W121" s="106"/>
      <c r="X121" s="83"/>
      <c r="Y121" s="10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ht="16.5">
      <c r="I122" s="84"/>
      <c r="J122" s="84"/>
      <c r="K122" s="109" t="s">
        <v>315</v>
      </c>
      <c r="L122" s="109">
        <f t="shared" si="22"/>
        <v>4</v>
      </c>
      <c r="M122" s="109" t="str">
        <f t="shared" si="26"/>
        <v>KL depends on condition and ratio</v>
      </c>
      <c r="N122" s="109">
        <f t="shared" si="27"/>
        <v>4</v>
      </c>
      <c r="O122" s="109">
        <f t="shared" si="28"/>
        <v>7680</v>
      </c>
      <c r="P122" s="109">
        <f t="shared" si="23"/>
        <v>35.801855443336947</v>
      </c>
      <c r="Q122" s="109">
        <f t="shared" si="24"/>
        <v>28.186075266811521</v>
      </c>
      <c r="R122" s="107">
        <f t="shared" si="29"/>
        <v>0.13231427062831769</v>
      </c>
      <c r="S122" s="107">
        <f t="shared" si="25"/>
        <v>0.41533618326498895</v>
      </c>
      <c r="T122" s="106">
        <f>IF(P122&lt;=10,1,IF(AND(P122&gt;10,Q122&gt;=P122),R122,IF(AND(P122&gt;Q122,50&gt;=P122),S122,not acceptable)))</f>
        <v>0.41533618326498895</v>
      </c>
      <c r="U122" s="106"/>
      <c r="V122" s="106"/>
      <c r="W122" s="106"/>
      <c r="X122" s="83"/>
      <c r="Y122" s="10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ht="16.5">
      <c r="I123" s="84"/>
      <c r="J123" s="84"/>
      <c r="K123" s="109" t="s">
        <v>316</v>
      </c>
      <c r="L123" s="109">
        <f t="shared" si="22"/>
        <v>4</v>
      </c>
      <c r="M123" s="109" t="str">
        <f t="shared" si="26"/>
        <v>KL depends on condition and ratio</v>
      </c>
      <c r="N123" s="109">
        <f t="shared" si="27"/>
        <v>4</v>
      </c>
      <c r="O123" s="109">
        <f t="shared" si="28"/>
        <v>7680</v>
      </c>
      <c r="P123" s="109">
        <f t="shared" si="23"/>
        <v>39.001385016958018</v>
      </c>
      <c r="Q123" s="109">
        <f t="shared" si="24"/>
        <v>28.186075266811521</v>
      </c>
      <c r="R123" s="107">
        <f t="shared" si="29"/>
        <v>-0.22196969610864437</v>
      </c>
      <c r="S123" s="107">
        <f t="shared" si="25"/>
        <v>0.34998608449951851</v>
      </c>
      <c r="T123" s="106">
        <f>IF(P123&lt;=10,1,IF(AND(P123&gt;10,Q123&gt;=P123),R123,IF(AND(P123&gt;Q123,50&gt;=P123),S123,not acceptable)))</f>
        <v>0.34998608449951851</v>
      </c>
      <c r="U123" s="106"/>
      <c r="V123" s="106"/>
      <c r="W123" s="106"/>
      <c r="X123" s="83"/>
      <c r="Y123" s="10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ht="16.5">
      <c r="I124" s="84"/>
      <c r="J124" s="84"/>
      <c r="K124" s="109" t="s">
        <v>290</v>
      </c>
      <c r="L124" s="109">
        <f t="shared" si="22"/>
        <v>4</v>
      </c>
      <c r="M124" s="109" t="str">
        <f t="shared" si="26"/>
        <v>KL depends on condition and ratio</v>
      </c>
      <c r="N124" s="109">
        <f t="shared" si="27"/>
        <v>4</v>
      </c>
      <c r="O124" s="109">
        <f t="shared" si="28"/>
        <v>7680</v>
      </c>
      <c r="P124" s="109">
        <f t="shared" si="23"/>
        <v>42.71142619929519</v>
      </c>
      <c r="Q124" s="109">
        <f t="shared" si="24"/>
        <v>28.186075266811521</v>
      </c>
      <c r="R124" s="107">
        <f t="shared" si="29"/>
        <v>-0.75758610173463103</v>
      </c>
      <c r="S124" s="107">
        <f t="shared" si="25"/>
        <v>0.29182513168181429</v>
      </c>
      <c r="T124" s="106">
        <f>IF(P124&lt;=10,1,IF(AND(P124&gt;10,Q124&gt;=P124),R124,IF(AND(P124&gt;Q124,50&gt;=P124),S124,not acceptable)))</f>
        <v>0.29182513168181429</v>
      </c>
      <c r="U124" s="106"/>
      <c r="V124" s="106"/>
      <c r="W124" s="106"/>
      <c r="X124" s="83"/>
      <c r="Y124" s="10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ht="16.5">
      <c r="I125" s="84"/>
      <c r="J125" s="84"/>
      <c r="K125" s="109" t="s">
        <v>291</v>
      </c>
      <c r="L125" s="109">
        <f t="shared" si="22"/>
        <v>4</v>
      </c>
      <c r="M125" s="109" t="str">
        <f>IF($C$25="not satisfied", $C$27,"KL depends on condition and ratio")</f>
        <v>KL depends on condition and ratio</v>
      </c>
      <c r="N125" s="109">
        <f>IF($C$25="not satisfied", $C$27,L125)</f>
        <v>4</v>
      </c>
      <c r="O125" s="109">
        <f>1.92*1000*N125</f>
        <v>7680</v>
      </c>
      <c r="P125" s="109">
        <f t="shared" si="23"/>
        <v>45.776767747122136</v>
      </c>
      <c r="Q125" s="109">
        <f t="shared" si="24"/>
        <v>28.186075266811521</v>
      </c>
      <c r="R125" s="107">
        <f>1-((P125/Q125)^4)/3</f>
        <v>-1.319107141487621</v>
      </c>
      <c r="S125" s="107">
        <f t="shared" si="25"/>
        <v>0.25405081260624951</v>
      </c>
      <c r="T125" s="106">
        <f>IF(P125&lt;=10,1,IF(AND(P125&gt;10,Q125&gt;=P125),R125,IF(AND(P125&gt;Q125,50&gt;=P125),S125,not acceptable)))</f>
        <v>0.25405081260624951</v>
      </c>
      <c r="U125" s="106"/>
      <c r="V125" s="106"/>
      <c r="W125" s="106"/>
      <c r="X125" s="83"/>
      <c r="Y125" s="10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ht="16.5">
      <c r="I126" s="84"/>
      <c r="J126" s="84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83"/>
      <c r="Y126" s="10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ht="16.5">
      <c r="I127" s="84"/>
      <c r="J127" s="84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6"/>
      <c r="V127" s="106"/>
      <c r="W127" s="106"/>
      <c r="X127" s="83"/>
      <c r="Y127" s="10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ht="16.5">
      <c r="I128" s="84"/>
      <c r="J128" s="84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10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ht="16.5">
      <c r="I129" s="84"/>
      <c r="J129" s="84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10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ht="16.5">
      <c r="I130" s="84"/>
      <c r="J130" s="84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10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ht="16.5">
      <c r="A131" s="1"/>
      <c r="B131" s="1"/>
      <c r="C131" s="1"/>
      <c r="D131" s="1"/>
      <c r="E131" s="1"/>
      <c r="F131" s="1"/>
      <c r="G131" s="1"/>
      <c r="H131" s="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ht="16.5">
      <c r="A132" s="1"/>
      <c r="B132" s="1"/>
      <c r="C132" s="1"/>
      <c r="D132" s="1"/>
      <c r="E132" s="1"/>
      <c r="F132" s="1"/>
      <c r="G132" s="1"/>
      <c r="H132" s="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1:60" ht="16.5">
      <c r="A133" s="1"/>
      <c r="B133" s="1"/>
      <c r="C133" s="1"/>
      <c r="D133" s="1"/>
      <c r="E133" s="1"/>
      <c r="F133" s="1"/>
      <c r="G133" s="1"/>
      <c r="H133" s="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ht="16.5">
      <c r="A134" s="1"/>
      <c r="B134" s="1"/>
      <c r="C134" s="1"/>
      <c r="D134" s="1"/>
      <c r="E134" s="1"/>
      <c r="F134" s="1"/>
      <c r="G134" s="1"/>
      <c r="H134" s="1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ht="16.5">
      <c r="A135" s="1"/>
      <c r="B135" s="1"/>
      <c r="C135" s="1"/>
      <c r="D135" s="1"/>
      <c r="E135" s="1"/>
      <c r="F135" s="1"/>
      <c r="G135" s="1"/>
      <c r="H135" s="1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ht="16.5">
      <c r="A136" s="1"/>
      <c r="B136" s="1"/>
      <c r="C136" s="1"/>
      <c r="D136" s="1"/>
      <c r="E136" s="1"/>
      <c r="F136" s="1"/>
      <c r="G136" s="1"/>
      <c r="H136" s="1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ht="16.5">
      <c r="A137" s="1"/>
      <c r="B137" s="1"/>
      <c r="C137" s="1"/>
      <c r="D137" s="1"/>
      <c r="E137" s="1"/>
      <c r="F137" s="1"/>
      <c r="G137" s="1"/>
      <c r="H137" s="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1:60" ht="16.5">
      <c r="A138" s="1"/>
      <c r="B138" s="1"/>
      <c r="C138" s="1"/>
      <c r="D138" s="1"/>
      <c r="E138" s="1"/>
      <c r="F138" s="1"/>
      <c r="G138" s="1"/>
      <c r="H138" s="1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ht="16.5">
      <c r="A139" s="1"/>
      <c r="B139" s="1"/>
      <c r="C139" s="1"/>
      <c r="D139" s="1"/>
      <c r="E139" s="1"/>
      <c r="F139" s="1"/>
      <c r="G139" s="1"/>
      <c r="H139" s="1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ht="16.5">
      <c r="A140" s="1"/>
      <c r="B140" s="1"/>
      <c r="C140" s="1"/>
      <c r="D140" s="1"/>
      <c r="E140" s="1"/>
      <c r="F140" s="1"/>
      <c r="G140" s="1"/>
      <c r="H140" s="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ht="16.5">
      <c r="A141" s="1"/>
      <c r="B141" s="1"/>
      <c r="C141" s="1"/>
      <c r="D141" s="1"/>
      <c r="E141" s="1"/>
      <c r="F141" s="1"/>
      <c r="G141" s="1"/>
      <c r="H141" s="1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1:60" ht="16.5">
      <c r="A142" s="1"/>
      <c r="B142" s="1"/>
      <c r="C142" s="1"/>
      <c r="D142" s="1"/>
      <c r="E142" s="1"/>
      <c r="F142" s="1"/>
      <c r="G142" s="1"/>
      <c r="H142" s="1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1:60" ht="16.5">
      <c r="A143" s="1"/>
      <c r="B143" s="1"/>
      <c r="C143" s="1"/>
      <c r="D143" s="1"/>
      <c r="E143" s="1"/>
      <c r="F143" s="1"/>
      <c r="G143" s="1"/>
      <c r="H143" s="1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1:60" ht="16.5">
      <c r="A144" s="1"/>
      <c r="B144" s="1"/>
      <c r="C144" s="1"/>
      <c r="D144" s="1"/>
      <c r="E144" s="1"/>
      <c r="F144" s="1"/>
      <c r="G144" s="1"/>
      <c r="H144" s="1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1:60" ht="16.5">
      <c r="A145" s="1"/>
      <c r="B145" s="1"/>
      <c r="C145" s="1"/>
      <c r="D145" s="1"/>
      <c r="E145" s="1"/>
      <c r="F145" s="1"/>
      <c r="G145" s="1"/>
      <c r="H145" s="1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1:60" ht="16.5">
      <c r="A146" s="1"/>
      <c r="B146" s="1"/>
      <c r="C146" s="1"/>
      <c r="D146" s="1"/>
      <c r="E146" s="1"/>
      <c r="F146" s="1"/>
      <c r="G146" s="1"/>
      <c r="H146" s="1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1:60" ht="16.5">
      <c r="A147" s="1"/>
      <c r="B147" s="1"/>
      <c r="C147" s="1"/>
      <c r="D147" s="1"/>
      <c r="E147" s="1"/>
      <c r="F147" s="1"/>
      <c r="G147" s="1"/>
      <c r="H147" s="1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1:60" ht="16.5">
      <c r="A148" s="1"/>
      <c r="B148" s="1"/>
      <c r="C148" s="1"/>
      <c r="D148" s="1"/>
      <c r="E148" s="1"/>
      <c r="F148" s="1"/>
      <c r="G148" s="1"/>
      <c r="H148" s="1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1:60" ht="16.5">
      <c r="A149" s="1"/>
      <c r="B149" s="1"/>
      <c r="C149" s="1"/>
      <c r="D149" s="1"/>
      <c r="E149" s="1"/>
      <c r="F149" s="1"/>
      <c r="G149" s="1"/>
      <c r="H149" s="1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1:60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1:60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1:60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0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1:60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1:60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1:60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1:60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1:60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0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0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1:60" ht="16.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1:60" ht="16.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1:60" ht="16.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1:60" ht="16.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1:60" ht="16.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1:60" ht="16.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1:60" ht="16.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1:60" ht="16.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1:60" ht="16.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1:60" ht="16.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</row>
    <row r="173" spans="1:60" ht="16.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1:60" ht="16.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1:60" ht="16.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1:60" ht="16.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1:60" ht="16.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1:60" ht="16.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1:60" ht="16.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</row>
    <row r="180" spans="1:60" ht="16.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1:60" ht="16.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1:60" ht="16.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1:60" ht="16.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1:60" ht="16.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1:60" ht="16.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1:60" ht="16.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1:60" ht="16.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1:60" ht="16.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1:60" ht="16.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1:60" ht="16.5">
      <c r="A190" s="1"/>
      <c r="B190" s="1"/>
    </row>
    <row r="191" spans="1:60" ht="16.5">
      <c r="A191" s="1"/>
    </row>
    <row r="192" spans="1:60" ht="16.5">
      <c r="A192" s="1"/>
    </row>
  </sheetData>
  <mergeCells count="24">
    <mergeCell ref="A24:B24"/>
    <mergeCell ref="A42:B42"/>
    <mergeCell ref="A1:H1"/>
    <mergeCell ref="A3:I3"/>
    <mergeCell ref="A4:E4"/>
    <mergeCell ref="A8:B8"/>
    <mergeCell ref="C13:D13"/>
    <mergeCell ref="C11:D11"/>
    <mergeCell ref="C9:D9"/>
    <mergeCell ref="C10:D10"/>
    <mergeCell ref="C12:D12"/>
    <mergeCell ref="A7:D7"/>
    <mergeCell ref="A40:C40"/>
    <mergeCell ref="E31:G31"/>
    <mergeCell ref="A115:E115"/>
    <mergeCell ref="A44:B44"/>
    <mergeCell ref="C76:D76"/>
    <mergeCell ref="I30:L30"/>
    <mergeCell ref="A68:E68"/>
    <mergeCell ref="A41:B41"/>
    <mergeCell ref="A69:C69"/>
    <mergeCell ref="A114:E114"/>
    <mergeCell ref="A113:E113"/>
    <mergeCell ref="A81:E81"/>
  </mergeCells>
  <phoneticPr fontId="2" type="noConversion"/>
  <pageMargins left="0.25" right="0.25" top="0.75" bottom="0.75" header="0.3" footer="0.3"/>
  <pageSetup paperSize="9" scale="40" orientation="landscape" horizontalDpi="4294967292" verticalDpi="4294967292" r:id="rId1"/>
  <headerFooter>
    <oddHeader>&amp;C_x000D_</oddHeader>
  </headerFooter>
  <rowBreaks count="2" manualBreakCount="2">
    <brk id="66" max="16383" man="1"/>
    <brk id="117" max="16383" man="1"/>
  </rowBreaks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'Dropdown List'!$B$2:$B$5</xm:f>
          </x14:formula1>
          <xm:sqref>C9</xm:sqref>
        </x14:dataValidation>
        <x14:dataValidation type="list" allowBlank="1" showInputMessage="1" showErrorMessage="1">
          <x14:formula1>
            <xm:f>'Dropdown List'!$B$8:$B$16</xm:f>
          </x14:formula1>
          <xm:sqref>C10</xm:sqref>
        </x14:dataValidation>
        <x14:dataValidation type="list" allowBlank="1" showInputMessage="1" showErrorMessage="1">
          <x14:formula1>
            <xm:f>'Dropdown List'!$B$19:$B$20</xm:f>
          </x14:formula1>
          <xm:sqref>C12</xm:sqref>
        </x14:dataValidation>
        <x14:dataValidation type="list" allowBlank="1" showInputMessage="1" showErrorMessage="1">
          <x14:formula1>
            <xm:f>'Dropdown List'!$B$23:$B$26</xm:f>
          </x14:formula1>
          <xm:sqref>C13</xm:sqref>
        </x14:dataValidation>
        <x14:dataValidation type="list" allowBlank="1" showInputMessage="1" showErrorMessage="1">
          <x14:formula1>
            <xm:f>'Dropdown List'!$F$2:$F$7</xm:f>
          </x14:formula1>
          <xm:sqref>C25</xm:sqref>
        </x14:dataValidation>
        <x14:dataValidation type="list" allowBlank="1" showInputMessage="1" showErrorMessage="1">
          <x14:formula1>
            <xm:f>'Dropdown List'!$B$29:$B$31</xm:f>
          </x14:formula1>
          <xm:sqref>C11:D11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2"/>
  <sheetViews>
    <sheetView topLeftCell="A29" workbookViewId="0">
      <selection activeCell="C54" sqref="C54"/>
    </sheetView>
  </sheetViews>
  <sheetFormatPr defaultColWidth="11" defaultRowHeight="15.75"/>
  <cols>
    <col min="1" max="1" width="23" customWidth="1"/>
    <col min="2" max="2" width="22" customWidth="1"/>
    <col min="3" max="3" width="12.5" customWidth="1"/>
    <col min="4" max="4" width="18.125" customWidth="1"/>
    <col min="5" max="5" width="17.625" customWidth="1"/>
    <col min="6" max="6" width="10" customWidth="1"/>
    <col min="7" max="7" width="17.625" customWidth="1"/>
    <col min="8" max="8" width="17" customWidth="1"/>
    <col min="10" max="10" width="12.125" customWidth="1"/>
    <col min="23" max="23" width="16.875" customWidth="1"/>
  </cols>
  <sheetData>
    <row r="1" spans="1:53" ht="17.2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6.5">
      <c r="A2" s="154" t="s">
        <v>97</v>
      </c>
      <c r="B2" s="155"/>
      <c r="C2" s="155"/>
      <c r="D2" s="155"/>
      <c r="E2" s="155"/>
      <c r="F2" s="155"/>
      <c r="G2" s="156"/>
      <c r="H2" s="13"/>
      <c r="I2" s="154" t="s">
        <v>104</v>
      </c>
      <c r="J2" s="155"/>
      <c r="K2" s="155"/>
      <c r="L2" s="155"/>
      <c r="M2" s="155"/>
      <c r="N2" s="155"/>
      <c r="O2" s="156"/>
      <c r="P2" s="12"/>
      <c r="Q2" s="154" t="s">
        <v>105</v>
      </c>
      <c r="R2" s="155"/>
      <c r="S2" s="155"/>
      <c r="T2" s="155"/>
      <c r="U2" s="155"/>
      <c r="V2" s="155"/>
      <c r="W2" s="156"/>
      <c r="X2" s="1"/>
      <c r="Y2" s="154" t="s">
        <v>109</v>
      </c>
      <c r="Z2" s="155"/>
      <c r="AA2" s="155"/>
      <c r="AB2" s="155"/>
      <c r="AC2" s="155"/>
      <c r="AD2" s="155"/>
      <c r="AE2" s="156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6.5">
      <c r="A3" s="14" t="s">
        <v>11</v>
      </c>
      <c r="B3" s="12" t="s">
        <v>12</v>
      </c>
      <c r="C3" s="12" t="s">
        <v>96</v>
      </c>
      <c r="D3" s="12" t="s">
        <v>95</v>
      </c>
      <c r="E3" s="12" t="s">
        <v>86</v>
      </c>
      <c r="F3" s="29"/>
      <c r="G3" s="15"/>
      <c r="H3" s="12"/>
      <c r="I3" s="14" t="s">
        <v>11</v>
      </c>
      <c r="J3" s="12" t="s">
        <v>12</v>
      </c>
      <c r="K3" s="12" t="s">
        <v>96</v>
      </c>
      <c r="L3" s="12" t="s">
        <v>95</v>
      </c>
      <c r="M3" s="12" t="s">
        <v>86</v>
      </c>
      <c r="O3" s="15"/>
      <c r="P3" s="12"/>
      <c r="Q3" s="14" t="s">
        <v>11</v>
      </c>
      <c r="R3" s="12" t="s">
        <v>12</v>
      </c>
      <c r="S3" s="12" t="s">
        <v>96</v>
      </c>
      <c r="T3" s="12" t="s">
        <v>95</v>
      </c>
      <c r="U3" s="12" t="s">
        <v>149</v>
      </c>
      <c r="V3" s="29"/>
      <c r="W3" s="15"/>
      <c r="X3" s="1"/>
      <c r="Y3" s="14" t="s">
        <v>11</v>
      </c>
      <c r="Z3" s="12" t="s">
        <v>12</v>
      </c>
      <c r="AA3" s="12" t="s">
        <v>96</v>
      </c>
      <c r="AB3" s="12" t="s">
        <v>95</v>
      </c>
      <c r="AC3" s="12" t="s">
        <v>86</v>
      </c>
      <c r="AD3" s="29"/>
      <c r="AE3" s="1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6.5">
      <c r="A4" s="16" t="s">
        <v>98</v>
      </c>
      <c r="B4" s="12" t="s">
        <v>99</v>
      </c>
      <c r="C4" s="12">
        <v>16.5</v>
      </c>
      <c r="D4" s="12">
        <v>1.9</v>
      </c>
      <c r="E4" s="12">
        <v>12500</v>
      </c>
      <c r="F4" s="29"/>
      <c r="G4" s="153" t="s">
        <v>168</v>
      </c>
      <c r="H4" s="12"/>
      <c r="I4" s="16" t="s">
        <v>98</v>
      </c>
      <c r="J4" s="12" t="s">
        <v>172</v>
      </c>
      <c r="K4" s="12">
        <v>13</v>
      </c>
      <c r="L4" s="12">
        <v>3.2</v>
      </c>
      <c r="M4" s="12">
        <v>10000</v>
      </c>
      <c r="N4" s="148" t="s">
        <v>174</v>
      </c>
      <c r="O4" s="149"/>
      <c r="P4" s="12"/>
      <c r="Q4" s="16" t="s">
        <v>98</v>
      </c>
      <c r="R4" s="12" t="s">
        <v>106</v>
      </c>
      <c r="S4" s="12">
        <v>19.5</v>
      </c>
      <c r="T4" s="12">
        <v>1.5</v>
      </c>
      <c r="U4" s="12">
        <v>12000</v>
      </c>
      <c r="V4" s="150" t="s">
        <v>178</v>
      </c>
      <c r="W4" s="149"/>
      <c r="X4" s="1"/>
      <c r="Y4" s="16" t="s">
        <v>98</v>
      </c>
      <c r="Z4" s="12" t="s">
        <v>106</v>
      </c>
      <c r="AA4" s="12">
        <v>18.3</v>
      </c>
      <c r="AB4" s="12">
        <v>1.5</v>
      </c>
      <c r="AC4" s="12">
        <v>12000</v>
      </c>
      <c r="AD4" s="150" t="s">
        <v>185</v>
      </c>
      <c r="AE4" s="149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5.95" customHeight="1">
      <c r="A5" s="16"/>
      <c r="B5" s="12" t="s">
        <v>167</v>
      </c>
      <c r="C5" s="12">
        <v>10</v>
      </c>
      <c r="D5" s="12">
        <v>1.9</v>
      </c>
      <c r="E5" s="12">
        <v>11000</v>
      </c>
      <c r="F5" s="29"/>
      <c r="G5" s="153"/>
      <c r="H5" s="12"/>
      <c r="I5" s="16"/>
      <c r="J5" s="12" t="s">
        <v>173</v>
      </c>
      <c r="K5" s="12">
        <v>7.3</v>
      </c>
      <c r="L5" s="12">
        <v>3.2</v>
      </c>
      <c r="M5" s="12">
        <v>9000</v>
      </c>
      <c r="N5" s="148"/>
      <c r="O5" s="149"/>
      <c r="P5" s="12"/>
      <c r="Q5" s="16"/>
      <c r="R5" s="12" t="s">
        <v>107</v>
      </c>
      <c r="S5" s="12">
        <v>15.8</v>
      </c>
      <c r="T5" s="12">
        <v>1.5</v>
      </c>
      <c r="U5" s="12">
        <v>12000</v>
      </c>
      <c r="V5" s="150"/>
      <c r="W5" s="149"/>
      <c r="X5" s="1"/>
      <c r="Y5" s="16"/>
      <c r="Z5" s="12" t="s">
        <v>107</v>
      </c>
      <c r="AA5" s="12">
        <v>13.8</v>
      </c>
      <c r="AB5" s="12">
        <v>1.5</v>
      </c>
      <c r="AC5" s="12">
        <v>10500</v>
      </c>
      <c r="AD5" s="150"/>
      <c r="AE5" s="149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6.5">
      <c r="A6" s="16"/>
      <c r="B6" s="12" t="s">
        <v>166</v>
      </c>
      <c r="C6" s="29">
        <v>10</v>
      </c>
      <c r="D6" s="12">
        <v>1.9</v>
      </c>
      <c r="E6" s="12">
        <v>11000</v>
      </c>
      <c r="F6" s="29"/>
      <c r="G6" s="153"/>
      <c r="H6" s="12"/>
      <c r="I6" s="16"/>
      <c r="J6" s="12"/>
      <c r="K6" s="12"/>
      <c r="L6" s="12"/>
      <c r="M6" s="12"/>
      <c r="O6" s="15"/>
      <c r="P6" s="12"/>
      <c r="Q6" s="16"/>
      <c r="R6" s="12" t="s">
        <v>108</v>
      </c>
      <c r="S6" s="12">
        <v>9</v>
      </c>
      <c r="T6" s="12">
        <v>1.5</v>
      </c>
      <c r="U6" s="12">
        <v>9500</v>
      </c>
      <c r="V6" s="150"/>
      <c r="W6" s="149"/>
      <c r="X6" s="1"/>
      <c r="Y6" s="16"/>
      <c r="Z6" s="12" t="s">
        <v>108</v>
      </c>
      <c r="AA6" s="12">
        <v>6</v>
      </c>
      <c r="AB6" s="12">
        <v>1.5</v>
      </c>
      <c r="AC6" s="12">
        <v>9500</v>
      </c>
      <c r="AD6" s="150"/>
      <c r="AE6" s="149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ht="16.5">
      <c r="A7" s="16"/>
      <c r="B7" s="12" t="s">
        <v>20</v>
      </c>
      <c r="C7" s="12">
        <v>4.5999999999999996</v>
      </c>
      <c r="D7" s="12">
        <v>1.9</v>
      </c>
      <c r="E7" s="12">
        <v>10000</v>
      </c>
      <c r="F7" s="29"/>
      <c r="G7" s="153"/>
      <c r="H7" s="12"/>
      <c r="I7" s="16"/>
      <c r="J7" s="12"/>
      <c r="K7" s="12"/>
      <c r="L7" s="12"/>
      <c r="M7" s="12"/>
      <c r="O7" s="15"/>
      <c r="P7" s="12"/>
      <c r="Q7" s="16"/>
      <c r="R7" s="12"/>
      <c r="S7" s="12"/>
      <c r="T7" s="12"/>
      <c r="U7" s="12"/>
      <c r="V7" s="29"/>
      <c r="W7" s="15"/>
      <c r="X7" s="1"/>
      <c r="Y7" s="16"/>
      <c r="Z7" s="12"/>
      <c r="AA7" s="12"/>
      <c r="AB7" s="12"/>
      <c r="AC7" s="12"/>
      <c r="AD7" s="29"/>
      <c r="AE7" s="1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ht="16.5">
      <c r="A8" s="16"/>
      <c r="B8" s="12" t="s">
        <v>22</v>
      </c>
      <c r="C8" s="12">
        <v>4.5999999999999996</v>
      </c>
      <c r="D8" s="12">
        <v>1.9</v>
      </c>
      <c r="E8" s="12">
        <v>10000</v>
      </c>
      <c r="F8" s="29"/>
      <c r="G8" s="153"/>
      <c r="H8" s="12"/>
      <c r="I8" s="16"/>
      <c r="J8" s="12"/>
      <c r="K8" s="12"/>
      <c r="L8" s="12"/>
      <c r="M8" s="12"/>
      <c r="O8" s="15"/>
      <c r="P8" s="12"/>
      <c r="Q8" s="16"/>
      <c r="R8" s="12"/>
      <c r="S8" s="12"/>
      <c r="T8" s="12"/>
      <c r="U8" s="12"/>
      <c r="V8" s="29"/>
      <c r="W8" s="15"/>
      <c r="X8" s="1"/>
      <c r="Y8" s="16"/>
      <c r="Z8" s="12"/>
      <c r="AA8" s="12"/>
      <c r="AB8" s="12"/>
      <c r="AC8" s="12"/>
      <c r="AD8" s="29"/>
      <c r="AE8" s="15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16.5">
      <c r="A9" s="16"/>
      <c r="B9" s="12"/>
      <c r="C9" s="12"/>
      <c r="D9" s="12"/>
      <c r="E9" s="29"/>
      <c r="F9" s="29"/>
      <c r="G9" s="15"/>
      <c r="H9" s="12"/>
      <c r="I9" s="16"/>
      <c r="J9" s="12"/>
      <c r="K9" s="12"/>
      <c r="L9" s="12"/>
      <c r="M9" s="12"/>
      <c r="O9" s="15"/>
      <c r="P9" s="12"/>
      <c r="Q9" s="16"/>
      <c r="R9" s="12"/>
      <c r="S9" s="12"/>
      <c r="T9" s="12"/>
      <c r="U9" s="12"/>
      <c r="V9" s="29"/>
      <c r="W9" s="15"/>
      <c r="X9" s="1"/>
      <c r="Y9" s="16"/>
      <c r="Z9" s="12"/>
      <c r="AA9" s="12"/>
      <c r="AB9" s="12"/>
      <c r="AC9" s="12"/>
      <c r="AD9" s="29"/>
      <c r="AE9" s="15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16.5">
      <c r="A10" s="16" t="s">
        <v>100</v>
      </c>
      <c r="B10" s="12" t="s">
        <v>101</v>
      </c>
      <c r="C10" s="12">
        <v>16</v>
      </c>
      <c r="D10" s="12">
        <v>1.6</v>
      </c>
      <c r="E10" s="12">
        <v>12000</v>
      </c>
      <c r="F10" s="29"/>
      <c r="G10" s="153" t="s">
        <v>169</v>
      </c>
      <c r="H10" s="12"/>
      <c r="I10" s="16" t="s">
        <v>100</v>
      </c>
      <c r="J10" s="12" t="s">
        <v>172</v>
      </c>
      <c r="K10" s="12">
        <v>14.3</v>
      </c>
      <c r="L10" s="12">
        <v>2.7</v>
      </c>
      <c r="M10" s="12">
        <v>10000</v>
      </c>
      <c r="N10" s="148" t="s">
        <v>175</v>
      </c>
      <c r="O10" s="149"/>
      <c r="P10" s="12"/>
      <c r="Q10" s="16" t="s">
        <v>100</v>
      </c>
      <c r="R10" s="12" t="s">
        <v>106</v>
      </c>
      <c r="S10" s="12">
        <v>14.5</v>
      </c>
      <c r="T10" s="12">
        <v>1.2</v>
      </c>
      <c r="U10" s="12">
        <v>10000</v>
      </c>
      <c r="V10" s="150" t="s">
        <v>179</v>
      </c>
      <c r="W10" s="149"/>
      <c r="X10" s="1"/>
      <c r="Y10" s="16" t="s">
        <v>100</v>
      </c>
      <c r="Z10" s="12" t="s">
        <v>106</v>
      </c>
      <c r="AA10" s="12">
        <v>13.6</v>
      </c>
      <c r="AB10" s="12">
        <v>1.2</v>
      </c>
      <c r="AC10" s="12">
        <v>10000</v>
      </c>
      <c r="AD10" s="150" t="s">
        <v>184</v>
      </c>
      <c r="AE10" s="149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6.5">
      <c r="A11" s="16"/>
      <c r="B11" s="12" t="s">
        <v>167</v>
      </c>
      <c r="C11" s="12">
        <v>11</v>
      </c>
      <c r="D11" s="12">
        <v>1.6</v>
      </c>
      <c r="E11" s="12">
        <v>11000</v>
      </c>
      <c r="F11" s="29"/>
      <c r="G11" s="153"/>
      <c r="H11" s="12"/>
      <c r="I11" s="16"/>
      <c r="J11" s="12" t="s">
        <v>173</v>
      </c>
      <c r="K11" s="12">
        <v>8</v>
      </c>
      <c r="L11" s="12">
        <v>2.7</v>
      </c>
      <c r="M11" s="12">
        <v>9000</v>
      </c>
      <c r="N11" s="148"/>
      <c r="O11" s="149"/>
      <c r="P11" s="12"/>
      <c r="Q11" s="16"/>
      <c r="R11" s="12" t="s">
        <v>107</v>
      </c>
      <c r="S11" s="12">
        <v>11.7</v>
      </c>
      <c r="T11" s="12">
        <v>1.2</v>
      </c>
      <c r="U11" s="12">
        <v>10000</v>
      </c>
      <c r="V11" s="150"/>
      <c r="W11" s="149"/>
      <c r="X11" s="1"/>
      <c r="Y11" s="16"/>
      <c r="Z11" s="12" t="s">
        <v>107</v>
      </c>
      <c r="AA11" s="12">
        <v>10.199999999999999</v>
      </c>
      <c r="AB11" s="12">
        <v>1.2</v>
      </c>
      <c r="AC11" s="12">
        <v>9000</v>
      </c>
      <c r="AD11" s="150"/>
      <c r="AE11" s="14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ht="16.5">
      <c r="A12" s="16"/>
      <c r="B12" s="12" t="s">
        <v>166</v>
      </c>
      <c r="C12" s="26">
        <v>11</v>
      </c>
      <c r="D12" s="12">
        <v>1.6</v>
      </c>
      <c r="E12" s="12">
        <v>11000</v>
      </c>
      <c r="F12" s="29"/>
      <c r="G12" s="153"/>
      <c r="H12" s="12"/>
      <c r="I12" s="16"/>
      <c r="J12" s="12"/>
      <c r="K12" s="12"/>
      <c r="L12" s="12"/>
      <c r="M12" s="12"/>
      <c r="O12" s="15"/>
      <c r="P12" s="12"/>
      <c r="Q12" s="16"/>
      <c r="R12" s="12" t="s">
        <v>108</v>
      </c>
      <c r="S12" s="12">
        <v>6.7</v>
      </c>
      <c r="T12" s="12">
        <v>1.2</v>
      </c>
      <c r="U12" s="12">
        <v>8000</v>
      </c>
      <c r="V12" s="150"/>
      <c r="W12" s="149"/>
      <c r="X12" s="1"/>
      <c r="Y12" s="16"/>
      <c r="Z12" s="12" t="s">
        <v>108</v>
      </c>
      <c r="AA12" s="12">
        <v>4.5</v>
      </c>
      <c r="AB12" s="12">
        <v>1.2</v>
      </c>
      <c r="AC12" s="12">
        <v>8000</v>
      </c>
      <c r="AD12" s="150"/>
      <c r="AE12" s="149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ht="16.5">
      <c r="A13" s="16"/>
      <c r="B13" s="12" t="s">
        <v>20</v>
      </c>
      <c r="C13" s="12">
        <v>7</v>
      </c>
      <c r="D13" s="12">
        <v>1.6</v>
      </c>
      <c r="E13" s="12">
        <v>10000</v>
      </c>
      <c r="F13" s="29"/>
      <c r="G13" s="153"/>
      <c r="H13" s="12"/>
      <c r="I13" s="16"/>
      <c r="J13" s="12"/>
      <c r="K13" s="12"/>
      <c r="L13" s="12"/>
      <c r="M13" s="12"/>
      <c r="O13" s="15"/>
      <c r="P13" s="12"/>
      <c r="Q13" s="16"/>
      <c r="R13" s="12"/>
      <c r="S13" s="12"/>
      <c r="T13" s="12"/>
      <c r="U13" s="12"/>
      <c r="V13" s="29"/>
      <c r="W13" s="15"/>
      <c r="X13" s="1"/>
      <c r="Y13" s="16"/>
      <c r="Z13" s="12"/>
      <c r="AA13" s="12"/>
      <c r="AB13" s="12"/>
      <c r="AC13" s="12"/>
      <c r="AD13" s="29"/>
      <c r="AE13" s="15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ht="16.5">
      <c r="A14" s="16"/>
      <c r="B14" s="12" t="s">
        <v>22</v>
      </c>
      <c r="C14" s="12">
        <v>7</v>
      </c>
      <c r="D14" s="12">
        <v>1.6</v>
      </c>
      <c r="E14" s="12">
        <v>10000</v>
      </c>
      <c r="F14" s="29"/>
      <c r="G14" s="153"/>
      <c r="H14" s="12"/>
      <c r="I14" s="16"/>
      <c r="J14" s="12"/>
      <c r="K14" s="12"/>
      <c r="L14" s="12"/>
      <c r="M14" s="12"/>
      <c r="O14" s="15"/>
      <c r="P14" s="12"/>
      <c r="Q14" s="16"/>
      <c r="R14" s="12"/>
      <c r="S14" s="12"/>
      <c r="T14" s="12"/>
      <c r="U14" s="12"/>
      <c r="V14" s="29"/>
      <c r="W14" s="15"/>
      <c r="X14" s="1"/>
      <c r="Y14" s="16"/>
      <c r="Z14" s="12"/>
      <c r="AA14" s="12"/>
      <c r="AB14" s="12"/>
      <c r="AC14" s="12"/>
      <c r="AD14" s="29"/>
      <c r="AE14" s="15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ht="16.5">
      <c r="A15" s="14"/>
      <c r="B15" s="12"/>
      <c r="C15" s="29"/>
      <c r="D15" s="12"/>
      <c r="E15" s="12"/>
      <c r="F15" s="29"/>
      <c r="G15" s="15"/>
      <c r="H15" s="1"/>
      <c r="I15" s="14"/>
      <c r="J15" s="12"/>
      <c r="K15" s="12"/>
      <c r="L15" s="12"/>
      <c r="M15" s="12"/>
      <c r="O15" s="15"/>
      <c r="P15" s="1"/>
      <c r="Q15" s="14"/>
      <c r="R15" s="12"/>
      <c r="S15" s="12"/>
      <c r="T15" s="12"/>
      <c r="U15" s="12"/>
      <c r="V15" s="29"/>
      <c r="W15" s="15"/>
      <c r="X15" s="1"/>
      <c r="Y15" s="14"/>
      <c r="Z15" s="12"/>
      <c r="AA15" s="29"/>
      <c r="AB15" s="12"/>
      <c r="AC15" s="29"/>
      <c r="AD15" s="29"/>
      <c r="AE15" s="15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ht="16.5">
      <c r="A16" s="14" t="s">
        <v>102</v>
      </c>
      <c r="B16" s="12" t="s">
        <v>101</v>
      </c>
      <c r="C16" s="12">
        <v>16.5</v>
      </c>
      <c r="D16" s="12">
        <v>1.5</v>
      </c>
      <c r="E16" s="12">
        <v>10500</v>
      </c>
      <c r="F16" s="29"/>
      <c r="G16" s="153" t="s">
        <v>170</v>
      </c>
      <c r="H16" s="1"/>
      <c r="I16" s="14" t="s">
        <v>102</v>
      </c>
      <c r="J16" s="12" t="s">
        <v>172</v>
      </c>
      <c r="K16" s="12">
        <v>15.3</v>
      </c>
      <c r="L16" s="12">
        <v>2.6</v>
      </c>
      <c r="M16" s="12">
        <v>9000</v>
      </c>
      <c r="N16" s="148" t="s">
        <v>176</v>
      </c>
      <c r="O16" s="149"/>
      <c r="P16" s="1"/>
      <c r="Q16" s="14" t="s">
        <v>102</v>
      </c>
      <c r="R16" s="12" t="s">
        <v>106</v>
      </c>
      <c r="S16" s="12">
        <v>13.6</v>
      </c>
      <c r="T16" s="12">
        <v>1.2</v>
      </c>
      <c r="U16" s="12">
        <v>8500</v>
      </c>
      <c r="V16" s="150" t="s">
        <v>180</v>
      </c>
      <c r="W16" s="149"/>
      <c r="X16" s="1"/>
      <c r="Y16" s="14" t="s">
        <v>102</v>
      </c>
      <c r="Z16" s="12" t="s">
        <v>106</v>
      </c>
      <c r="AA16" s="12">
        <v>12.7</v>
      </c>
      <c r="AB16" s="12">
        <v>1.2</v>
      </c>
      <c r="AC16" s="12">
        <v>8500</v>
      </c>
      <c r="AD16" s="150" t="s">
        <v>183</v>
      </c>
      <c r="AE16" s="14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ht="16.5">
      <c r="A17" s="14"/>
      <c r="B17" s="17" t="s">
        <v>15</v>
      </c>
      <c r="C17" s="12">
        <v>11.8</v>
      </c>
      <c r="D17" s="12">
        <v>1.5</v>
      </c>
      <c r="E17" s="12">
        <v>9500</v>
      </c>
      <c r="F17" s="29"/>
      <c r="G17" s="153"/>
      <c r="H17" s="1"/>
      <c r="I17" s="14"/>
      <c r="J17" s="12" t="s">
        <v>173</v>
      </c>
      <c r="K17" s="12">
        <v>8.6</v>
      </c>
      <c r="L17" s="12">
        <v>2.6</v>
      </c>
      <c r="M17" s="12">
        <v>8000</v>
      </c>
      <c r="N17" s="148"/>
      <c r="O17" s="149"/>
      <c r="P17" s="1"/>
      <c r="Q17" s="14"/>
      <c r="R17" s="12" t="s">
        <v>107</v>
      </c>
      <c r="S17" s="12">
        <v>11</v>
      </c>
      <c r="T17" s="12">
        <v>1.2</v>
      </c>
      <c r="U17" s="12">
        <v>8500</v>
      </c>
      <c r="V17" s="150"/>
      <c r="W17" s="149"/>
      <c r="X17" s="1"/>
      <c r="Y17" s="14"/>
      <c r="Z17" s="12" t="s">
        <v>107</v>
      </c>
      <c r="AA17" s="12">
        <v>9.6</v>
      </c>
      <c r="AB17" s="12">
        <v>1.2</v>
      </c>
      <c r="AC17" s="12">
        <v>7500</v>
      </c>
      <c r="AD17" s="150"/>
      <c r="AE17" s="14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ht="16.5">
      <c r="A18" s="14"/>
      <c r="B18" s="17" t="s">
        <v>17</v>
      </c>
      <c r="C18" s="12">
        <v>11.8</v>
      </c>
      <c r="D18" s="12">
        <v>1.5</v>
      </c>
      <c r="E18" s="12">
        <v>9500</v>
      </c>
      <c r="F18" s="29"/>
      <c r="G18" s="153"/>
      <c r="H18" s="1"/>
      <c r="I18" s="14"/>
      <c r="J18" s="12"/>
      <c r="K18" s="12"/>
      <c r="L18" s="12"/>
      <c r="O18" s="15"/>
      <c r="P18" s="1"/>
      <c r="Q18" s="14"/>
      <c r="R18" s="12" t="s">
        <v>108</v>
      </c>
      <c r="S18" s="12">
        <v>6.3</v>
      </c>
      <c r="T18" s="12">
        <v>1.2</v>
      </c>
      <c r="U18" s="12">
        <v>6500</v>
      </c>
      <c r="V18" s="150"/>
      <c r="W18" s="149"/>
      <c r="X18" s="1"/>
      <c r="Y18" s="14"/>
      <c r="Z18" s="12" t="s">
        <v>108</v>
      </c>
      <c r="AA18" s="12">
        <v>4.2</v>
      </c>
      <c r="AB18" s="12">
        <v>1.2</v>
      </c>
      <c r="AC18" s="12">
        <v>6500</v>
      </c>
      <c r="AD18" s="150"/>
      <c r="AE18" s="149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ht="16.5">
      <c r="A19" s="14"/>
      <c r="B19" s="17" t="s">
        <v>19</v>
      </c>
      <c r="C19" s="12">
        <v>7</v>
      </c>
      <c r="D19" s="12">
        <v>1.5</v>
      </c>
      <c r="E19" s="12">
        <v>9000</v>
      </c>
      <c r="F19" s="29"/>
      <c r="G19" s="153"/>
      <c r="H19" s="1"/>
      <c r="I19" s="14"/>
      <c r="J19" s="12"/>
      <c r="K19" s="12"/>
      <c r="L19" s="12"/>
      <c r="O19" s="15"/>
      <c r="P19" s="1"/>
      <c r="Q19" s="14"/>
      <c r="R19" s="12"/>
      <c r="S19" s="12"/>
      <c r="T19" s="12"/>
      <c r="U19" s="12"/>
      <c r="V19" s="29"/>
      <c r="W19" s="15"/>
      <c r="X19" s="1"/>
      <c r="Y19" s="14"/>
      <c r="Z19" s="12"/>
      <c r="AA19" s="12"/>
      <c r="AB19" s="12"/>
      <c r="AC19" s="12"/>
      <c r="AD19" s="29"/>
      <c r="AE19" s="15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ht="16.5">
      <c r="A20" s="14"/>
      <c r="B20" s="17" t="s">
        <v>21</v>
      </c>
      <c r="C20" s="12">
        <v>7</v>
      </c>
      <c r="D20" s="12">
        <v>1.5</v>
      </c>
      <c r="E20" s="12">
        <v>9000</v>
      </c>
      <c r="F20" s="29"/>
      <c r="G20" s="153"/>
      <c r="H20" s="1"/>
      <c r="I20" s="14"/>
      <c r="J20" s="12"/>
      <c r="K20" s="12"/>
      <c r="L20" s="12"/>
      <c r="O20" s="15"/>
      <c r="P20" s="1"/>
      <c r="Q20" s="14"/>
      <c r="R20" s="12"/>
      <c r="S20" s="12"/>
      <c r="T20" s="12"/>
      <c r="U20" s="12"/>
      <c r="V20" s="29"/>
      <c r="W20" s="15"/>
      <c r="X20" s="1"/>
      <c r="Y20" s="14"/>
      <c r="Z20" s="12"/>
      <c r="AA20" s="12"/>
      <c r="AB20" s="12"/>
      <c r="AC20" s="12"/>
      <c r="AD20" s="29"/>
      <c r="AE20" s="15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ht="16.5">
      <c r="A21" s="14"/>
      <c r="B21" s="12"/>
      <c r="C21" s="12"/>
      <c r="D21" s="12"/>
      <c r="E21" s="12"/>
      <c r="F21" s="29"/>
      <c r="G21" s="15"/>
      <c r="H21" s="1"/>
      <c r="I21" s="14"/>
      <c r="J21" s="12"/>
      <c r="K21" s="12"/>
      <c r="L21" s="12"/>
      <c r="O21" s="15"/>
      <c r="P21" s="1"/>
      <c r="Q21" s="14"/>
      <c r="R21" s="12"/>
      <c r="S21" s="12"/>
      <c r="T21" s="12"/>
      <c r="U21" s="12"/>
      <c r="V21" s="29"/>
      <c r="W21" s="15"/>
      <c r="X21" s="1"/>
      <c r="Y21" s="14"/>
      <c r="Z21" s="12"/>
      <c r="AA21" s="12"/>
      <c r="AB21" s="12"/>
      <c r="AC21" s="12"/>
      <c r="AD21" s="29"/>
      <c r="AE21" s="15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ht="16.5">
      <c r="A22" s="14" t="s">
        <v>103</v>
      </c>
      <c r="B22" s="12" t="s">
        <v>101</v>
      </c>
      <c r="C22" s="12">
        <v>10.6</v>
      </c>
      <c r="D22" s="12">
        <v>1.3</v>
      </c>
      <c r="E22" s="12">
        <v>7500</v>
      </c>
      <c r="F22" s="29"/>
      <c r="G22" s="153" t="s">
        <v>171</v>
      </c>
      <c r="H22" s="1"/>
      <c r="I22" s="14" t="s">
        <v>103</v>
      </c>
      <c r="J22" s="12" t="s">
        <v>172</v>
      </c>
      <c r="K22" s="12">
        <v>9.9</v>
      </c>
      <c r="L22" s="12">
        <v>2.2000000000000002</v>
      </c>
      <c r="M22" s="12">
        <v>6500</v>
      </c>
      <c r="N22" s="148" t="s">
        <v>177</v>
      </c>
      <c r="O22" s="149"/>
      <c r="P22" s="1"/>
      <c r="Q22" s="14" t="s">
        <v>103</v>
      </c>
      <c r="R22" s="12" t="s">
        <v>106</v>
      </c>
      <c r="S22" s="12">
        <v>12.8</v>
      </c>
      <c r="T22" s="12">
        <v>1</v>
      </c>
      <c r="U22" s="12">
        <v>8000</v>
      </c>
      <c r="V22" s="150" t="s">
        <v>181</v>
      </c>
      <c r="W22" s="149"/>
      <c r="X22" s="1"/>
      <c r="Y22" s="14" t="s">
        <v>103</v>
      </c>
      <c r="Z22" s="12" t="s">
        <v>106</v>
      </c>
      <c r="AA22" s="12">
        <v>12</v>
      </c>
      <c r="AB22" s="12">
        <v>1</v>
      </c>
      <c r="AC22" s="12">
        <v>8000</v>
      </c>
      <c r="AD22" s="150" t="s">
        <v>182</v>
      </c>
      <c r="AE22" s="149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ht="16.5">
      <c r="A23" s="14"/>
      <c r="B23" s="12" t="s">
        <v>167</v>
      </c>
      <c r="C23" s="12">
        <v>7.6</v>
      </c>
      <c r="D23" s="12">
        <v>1.3</v>
      </c>
      <c r="E23" s="12">
        <v>7000</v>
      </c>
      <c r="F23" s="29"/>
      <c r="G23" s="153"/>
      <c r="H23" s="1"/>
      <c r="I23" s="14"/>
      <c r="J23" s="12" t="s">
        <v>173</v>
      </c>
      <c r="K23" s="12">
        <v>5.5</v>
      </c>
      <c r="L23" s="12">
        <v>2.2000000000000002</v>
      </c>
      <c r="M23" s="12">
        <v>6000</v>
      </c>
      <c r="N23" s="148"/>
      <c r="O23" s="149"/>
      <c r="P23" s="1"/>
      <c r="Q23" s="14"/>
      <c r="R23" s="12" t="s">
        <v>107</v>
      </c>
      <c r="S23" s="12">
        <v>10.8</v>
      </c>
      <c r="T23" s="12">
        <v>1</v>
      </c>
      <c r="U23" s="12">
        <v>8000</v>
      </c>
      <c r="V23" s="150"/>
      <c r="W23" s="149"/>
      <c r="X23" s="1"/>
      <c r="Y23" s="14"/>
      <c r="Z23" s="12" t="s">
        <v>107</v>
      </c>
      <c r="AA23" s="12">
        <v>9</v>
      </c>
      <c r="AB23" s="12">
        <v>1</v>
      </c>
      <c r="AC23" s="12">
        <v>7000</v>
      </c>
      <c r="AD23" s="150"/>
      <c r="AE23" s="149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ht="17.25" thickBot="1">
      <c r="A24" s="14"/>
      <c r="B24" s="12" t="s">
        <v>166</v>
      </c>
      <c r="C24" s="12">
        <v>7.6</v>
      </c>
      <c r="D24" s="12">
        <v>1.3</v>
      </c>
      <c r="E24" s="12">
        <v>7000</v>
      </c>
      <c r="F24" s="29"/>
      <c r="G24" s="153"/>
      <c r="H24" s="1"/>
      <c r="I24" s="18"/>
      <c r="J24" s="19"/>
      <c r="K24" s="19"/>
      <c r="L24" s="19"/>
      <c r="M24" s="19"/>
      <c r="N24" s="19"/>
      <c r="O24" s="20"/>
      <c r="P24" s="1"/>
      <c r="Q24" s="18"/>
      <c r="R24" s="19" t="s">
        <v>108</v>
      </c>
      <c r="S24" s="19">
        <v>5.9</v>
      </c>
      <c r="T24" s="19">
        <v>1</v>
      </c>
      <c r="U24" s="19">
        <v>6000</v>
      </c>
      <c r="V24" s="151"/>
      <c r="W24" s="152"/>
      <c r="X24" s="1"/>
      <c r="Y24" s="18"/>
      <c r="Z24" s="19" t="s">
        <v>108</v>
      </c>
      <c r="AA24" s="19">
        <v>3.9</v>
      </c>
      <c r="AB24" s="19">
        <v>1</v>
      </c>
      <c r="AC24" s="19">
        <v>6000</v>
      </c>
      <c r="AD24" s="151"/>
      <c r="AE24" s="152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ht="16.5">
      <c r="A25" s="14"/>
      <c r="B25" s="12" t="s">
        <v>20</v>
      </c>
      <c r="C25" s="12">
        <v>4.5</v>
      </c>
      <c r="D25" s="12">
        <v>1.3</v>
      </c>
      <c r="E25" s="12">
        <v>6500</v>
      </c>
      <c r="F25" s="29"/>
      <c r="G25" s="153"/>
      <c r="H25" s="1"/>
      <c r="I25" s="12"/>
      <c r="J25" s="12"/>
      <c r="K25" s="12"/>
      <c r="L25" s="12"/>
      <c r="M25" s="12"/>
      <c r="N25" s="12"/>
      <c r="O25" s="12"/>
      <c r="P25" s="1"/>
      <c r="Q25" s="12"/>
      <c r="R25" s="12"/>
      <c r="S25" s="12"/>
      <c r="T25" s="12"/>
      <c r="U25" s="12"/>
      <c r="V25" s="12"/>
      <c r="W25" s="12"/>
      <c r="X25" s="1"/>
      <c r="Y25" s="12"/>
      <c r="Z25" s="12"/>
      <c r="AA25" s="12"/>
      <c r="AB25" s="12"/>
      <c r="AC25" s="12"/>
      <c r="AD25" s="12"/>
      <c r="AE25" s="12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ht="17.25" thickBot="1">
      <c r="A26" s="18"/>
      <c r="B26" s="19" t="s">
        <v>22</v>
      </c>
      <c r="C26" s="19">
        <v>4.5</v>
      </c>
      <c r="D26" s="19">
        <v>1.3</v>
      </c>
      <c r="E26" s="19">
        <v>6500</v>
      </c>
      <c r="F26" s="21"/>
      <c r="G26" s="157"/>
      <c r="H26" s="1"/>
      <c r="I26" s="12"/>
      <c r="J26" s="12"/>
      <c r="K26" s="12"/>
      <c r="L26" s="12"/>
      <c r="M26" s="12"/>
      <c r="N26" s="12"/>
      <c r="O26" s="12"/>
      <c r="P26" s="1"/>
      <c r="Q26" s="12"/>
      <c r="R26" s="12"/>
      <c r="S26" s="12"/>
      <c r="T26" s="12"/>
      <c r="U26" s="12"/>
      <c r="V26" s="12"/>
      <c r="W26" s="12"/>
      <c r="X26" s="1"/>
      <c r="Y26" s="12"/>
      <c r="Z26" s="12"/>
      <c r="AA26" s="12"/>
      <c r="AB26" s="12"/>
      <c r="AC26" s="12"/>
      <c r="AD26" s="12"/>
      <c r="AE26" s="12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ht="17.25" thickBot="1">
      <c r="A27" s="1"/>
      <c r="B27" s="1"/>
      <c r="C27" s="1"/>
      <c r="D27" s="1"/>
      <c r="E27" s="1"/>
      <c r="F27" s="1"/>
      <c r="G27" s="1"/>
      <c r="H27" s="1"/>
      <c r="I27" s="1"/>
      <c r="J27" s="1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ht="16.5">
      <c r="A28" s="154" t="s">
        <v>110</v>
      </c>
      <c r="B28" s="155"/>
      <c r="C28" s="155"/>
      <c r="D28" s="155"/>
      <c r="E28" s="15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ht="16.5">
      <c r="A29" s="158" t="s">
        <v>111</v>
      </c>
      <c r="B29" s="124" t="s">
        <v>112</v>
      </c>
      <c r="C29" s="124" t="s">
        <v>113</v>
      </c>
      <c r="D29" s="124" t="s">
        <v>114</v>
      </c>
      <c r="E29" s="153"/>
      <c r="F29" s="1"/>
      <c r="G29" s="1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ht="16.5">
      <c r="A30" s="158"/>
      <c r="B30" s="124"/>
      <c r="C30" s="124"/>
      <c r="D30" s="12" t="s">
        <v>116</v>
      </c>
      <c r="E30" s="15" t="s">
        <v>115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ht="16.5">
      <c r="A31" s="22" t="s">
        <v>93</v>
      </c>
      <c r="B31" s="12" t="s">
        <v>118</v>
      </c>
      <c r="C31" s="12">
        <v>1</v>
      </c>
      <c r="D31" s="12">
        <v>0.84</v>
      </c>
      <c r="E31" s="15">
        <v>1</v>
      </c>
      <c r="F31" s="1"/>
      <c r="G31" s="2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ht="16.5">
      <c r="A32" s="22" t="s">
        <v>117</v>
      </c>
      <c r="B32" s="12" t="s">
        <v>119</v>
      </c>
      <c r="C32" s="12">
        <v>1</v>
      </c>
      <c r="D32" s="12">
        <v>0.96</v>
      </c>
      <c r="E32" s="15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ht="17.25" thickBot="1">
      <c r="A33" s="23" t="s">
        <v>132</v>
      </c>
      <c r="B33" s="19" t="s">
        <v>133</v>
      </c>
      <c r="C33" s="19">
        <v>1</v>
      </c>
      <c r="D33" s="19">
        <v>0.94</v>
      </c>
      <c r="E33" s="20">
        <v>1</v>
      </c>
      <c r="F33" s="1"/>
      <c r="G33" s="2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16.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ht="17.25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ht="16.5">
      <c r="A36" s="154" t="s">
        <v>121</v>
      </c>
      <c r="B36" s="155"/>
      <c r="C36" s="155"/>
      <c r="D36" s="15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16.5">
      <c r="A37" s="14" t="s">
        <v>120</v>
      </c>
      <c r="B37" s="124" t="s">
        <v>122</v>
      </c>
      <c r="C37" s="124"/>
      <c r="D37" s="15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 ht="16.5">
      <c r="A38" s="14"/>
      <c r="B38" s="30" t="s">
        <v>123</v>
      </c>
      <c r="C38" s="30" t="s">
        <v>124</v>
      </c>
      <c r="D38" s="31" t="s">
        <v>125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 ht="16.5">
      <c r="A39" s="32">
        <v>38</v>
      </c>
      <c r="B39" s="12">
        <v>1.7</v>
      </c>
      <c r="C39" s="24"/>
      <c r="D39" s="2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 ht="16.5">
      <c r="A40" s="32">
        <v>64</v>
      </c>
      <c r="B40" s="12">
        <v>1.7</v>
      </c>
      <c r="C40" s="24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 ht="16.5">
      <c r="A41" s="32">
        <v>89</v>
      </c>
      <c r="B41" s="12">
        <v>1.7</v>
      </c>
      <c r="C41" s="12">
        <v>1.7</v>
      </c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 ht="16.5">
      <c r="A42" s="32">
        <v>114</v>
      </c>
      <c r="B42" s="12">
        <v>1.5</v>
      </c>
      <c r="C42" s="12">
        <v>1.6</v>
      </c>
      <c r="D42" s="15">
        <v>1.3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 ht="16.5">
      <c r="A43" s="32">
        <v>140</v>
      </c>
      <c r="B43" s="12">
        <v>1.4</v>
      </c>
      <c r="C43" s="12">
        <v>1.5</v>
      </c>
      <c r="D43" s="15">
        <v>1.3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ht="16.5">
      <c r="A44" s="32">
        <v>184</v>
      </c>
      <c r="B44" s="12">
        <v>1.2</v>
      </c>
      <c r="C44" s="12">
        <v>1.3</v>
      </c>
      <c r="D44" s="15">
        <v>1.3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 ht="16.5">
      <c r="A45" s="32">
        <v>191</v>
      </c>
      <c r="B45" s="12">
        <v>1.2</v>
      </c>
      <c r="C45" s="12">
        <v>1.3</v>
      </c>
      <c r="D45" s="15">
        <v>1.3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 ht="16.5">
      <c r="A46" s="32">
        <v>235</v>
      </c>
      <c r="B46" s="12">
        <v>1.1000000000000001</v>
      </c>
      <c r="C46" s="12">
        <v>1.2</v>
      </c>
      <c r="D46" s="15">
        <v>1.2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 ht="16.5">
      <c r="A47" s="32">
        <v>241</v>
      </c>
      <c r="B47" s="12">
        <v>1.1000000000000001</v>
      </c>
      <c r="C47" s="12">
        <v>1.2</v>
      </c>
      <c r="D47" s="15">
        <v>1.2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 ht="16.5">
      <c r="A48" s="32">
        <v>286</v>
      </c>
      <c r="B48" s="12">
        <v>1</v>
      </c>
      <c r="C48" s="12">
        <v>1.1000000000000001</v>
      </c>
      <c r="D48" s="15">
        <v>1.1000000000000001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6.5">
      <c r="A49" s="32">
        <v>292</v>
      </c>
      <c r="B49" s="12">
        <v>1</v>
      </c>
      <c r="C49" s="12">
        <v>1.1000000000000001</v>
      </c>
      <c r="D49" s="15">
        <v>1.1000000000000001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ht="16.5">
      <c r="A50" s="32">
        <v>337</v>
      </c>
      <c r="B50" s="12">
        <v>0.9</v>
      </c>
      <c r="C50" s="12">
        <v>1</v>
      </c>
      <c r="D50" s="15">
        <v>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6.5">
      <c r="A51" s="32">
        <v>343</v>
      </c>
      <c r="B51" s="12">
        <v>0.9</v>
      </c>
      <c r="C51" s="12">
        <v>1</v>
      </c>
      <c r="D51" s="15">
        <v>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ht="16.5">
      <c r="A52" s="32">
        <v>387</v>
      </c>
      <c r="B52" s="12">
        <v>0.8</v>
      </c>
      <c r="C52" s="12">
        <v>0.9</v>
      </c>
      <c r="D52" s="15">
        <v>0.9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ht="17.25" thickBot="1">
      <c r="A53" s="23">
        <v>394</v>
      </c>
      <c r="B53" s="19">
        <v>0.8</v>
      </c>
      <c r="C53" s="19">
        <v>0.9</v>
      </c>
      <c r="D53" s="20">
        <v>0.9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ht="16.5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ht="16.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ht="16.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ht="16.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ht="16.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ht="16.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ht="16.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ht="16.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ht="16.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ht="16.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ht="16.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ht="16.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ht="16.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ht="16.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ht="16.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ht="16.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ht="16.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ht="16.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ht="16.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ht="16.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ht="16.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ht="16.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ht="16.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ht="16.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ht="16.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ht="16.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ht="16.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ht="16.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ht="16.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ht="16.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ht="16.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ht="16.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 ht="16.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 ht="16.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 ht="16.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 ht="16.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 ht="16.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 ht="16.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ht="16.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ht="16.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ht="16.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ht="16.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 ht="16.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ht="16.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ht="16.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ht="16.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ht="16.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ht="16.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ht="16.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ht="16.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ht="16.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ht="16.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 ht="16.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 ht="16.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ht="16.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ht="16.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</sheetData>
  <mergeCells count="27">
    <mergeCell ref="A2:G2"/>
    <mergeCell ref="I2:O2"/>
    <mergeCell ref="Q2:W2"/>
    <mergeCell ref="Y2:AE2"/>
    <mergeCell ref="A29:A30"/>
    <mergeCell ref="B29:B30"/>
    <mergeCell ref="C29:C30"/>
    <mergeCell ref="D29:E29"/>
    <mergeCell ref="A28:E28"/>
    <mergeCell ref="N4:O5"/>
    <mergeCell ref="AD4:AE6"/>
    <mergeCell ref="AD10:AE12"/>
    <mergeCell ref="AD16:AE18"/>
    <mergeCell ref="AD22:AE24"/>
    <mergeCell ref="N10:O11"/>
    <mergeCell ref="N16:O17"/>
    <mergeCell ref="B37:D37"/>
    <mergeCell ref="A36:D36"/>
    <mergeCell ref="G4:G8"/>
    <mergeCell ref="G10:G14"/>
    <mergeCell ref="G16:G20"/>
    <mergeCell ref="G22:G26"/>
    <mergeCell ref="N22:O23"/>
    <mergeCell ref="V4:W6"/>
    <mergeCell ref="V10:W12"/>
    <mergeCell ref="V16:W18"/>
    <mergeCell ref="V22:W24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F8" sqref="F8"/>
    </sheetView>
  </sheetViews>
  <sheetFormatPr defaultColWidth="11" defaultRowHeight="15.75"/>
  <cols>
    <col min="1" max="1" width="16.5" customWidth="1"/>
    <col min="6" max="6" width="14.5" customWidth="1"/>
  </cols>
  <sheetData>
    <row r="1" spans="1:12">
      <c r="A1" s="3" t="s">
        <v>11</v>
      </c>
      <c r="F1" s="3" t="s">
        <v>229</v>
      </c>
    </row>
    <row r="2" spans="1:12" ht="16.5">
      <c r="B2" t="s">
        <v>194</v>
      </c>
      <c r="F2" s="58" t="s">
        <v>231</v>
      </c>
      <c r="G2" s="33"/>
      <c r="H2" s="33"/>
      <c r="I2" s="33"/>
      <c r="J2" s="35"/>
      <c r="K2" s="35"/>
      <c r="L2" s="35"/>
    </row>
    <row r="3" spans="1:12" ht="16.5">
      <c r="B3" t="s">
        <v>13</v>
      </c>
      <c r="F3" s="58" t="s">
        <v>232</v>
      </c>
      <c r="G3" s="33"/>
      <c r="H3" s="33"/>
      <c r="I3" s="33"/>
      <c r="J3" s="35"/>
      <c r="K3" s="35"/>
      <c r="L3" s="35"/>
    </row>
    <row r="4" spans="1:12" ht="16.5">
      <c r="B4" t="s">
        <v>14</v>
      </c>
      <c r="F4" s="58" t="s">
        <v>236</v>
      </c>
      <c r="G4" s="33"/>
      <c r="H4" s="33"/>
      <c r="I4" s="33"/>
      <c r="J4" s="35"/>
      <c r="K4" s="35"/>
      <c r="L4" s="35"/>
    </row>
    <row r="5" spans="1:12" ht="16.5">
      <c r="B5" t="s">
        <v>195</v>
      </c>
      <c r="F5" s="58" t="s">
        <v>237</v>
      </c>
      <c r="G5" s="33"/>
      <c r="H5" s="33"/>
      <c r="I5" s="33"/>
      <c r="J5" s="33"/>
      <c r="K5" s="33"/>
      <c r="L5" s="33"/>
    </row>
    <row r="6" spans="1:12" ht="16.5">
      <c r="F6" s="58" t="s">
        <v>233</v>
      </c>
      <c r="G6" s="33"/>
      <c r="H6" s="33"/>
      <c r="I6" s="33"/>
      <c r="J6" s="33"/>
      <c r="K6" s="33"/>
      <c r="L6" s="33"/>
    </row>
    <row r="7" spans="1:12">
      <c r="A7" s="3" t="s">
        <v>12</v>
      </c>
      <c r="F7" s="58" t="s">
        <v>243</v>
      </c>
    </row>
    <row r="8" spans="1:12">
      <c r="B8" t="s">
        <v>150</v>
      </c>
    </row>
    <row r="9" spans="1:12">
      <c r="B9" t="s">
        <v>16</v>
      </c>
    </row>
    <row r="10" spans="1:12">
      <c r="B10" t="s">
        <v>18</v>
      </c>
    </row>
    <row r="11" spans="1:12">
      <c r="B11" t="s">
        <v>20</v>
      </c>
    </row>
    <row r="12" spans="1:12">
      <c r="B12" t="s">
        <v>146</v>
      </c>
    </row>
    <row r="13" spans="1:12">
      <c r="B13" t="s">
        <v>147</v>
      </c>
    </row>
    <row r="14" spans="1:12">
      <c r="B14" t="s">
        <v>148</v>
      </c>
    </row>
    <row r="15" spans="1:12">
      <c r="B15" t="s">
        <v>151</v>
      </c>
    </row>
    <row r="16" spans="1:12">
      <c r="B16" t="s">
        <v>196</v>
      </c>
    </row>
    <row r="18" spans="1:2">
      <c r="A18" s="3" t="s">
        <v>23</v>
      </c>
    </row>
    <row r="19" spans="1:2">
      <c r="B19" t="s">
        <v>155</v>
      </c>
    </row>
    <row r="20" spans="1:2">
      <c r="B20" t="s">
        <v>156</v>
      </c>
    </row>
    <row r="22" spans="1:2">
      <c r="A22" s="3" t="s">
        <v>24</v>
      </c>
    </row>
    <row r="23" spans="1:2">
      <c r="B23" t="s">
        <v>25</v>
      </c>
    </row>
    <row r="24" spans="1:2">
      <c r="B24" t="s">
        <v>152</v>
      </c>
    </row>
    <row r="25" spans="1:2">
      <c r="B25" t="s">
        <v>157</v>
      </c>
    </row>
    <row r="26" spans="1:2">
      <c r="B26" t="s">
        <v>26</v>
      </c>
    </row>
    <row r="28" spans="1:2">
      <c r="A28" s="3" t="s">
        <v>27</v>
      </c>
    </row>
    <row r="29" spans="1:2">
      <c r="B29" t="s">
        <v>28</v>
      </c>
    </row>
    <row r="30" spans="1:2">
      <c r="B30" t="s">
        <v>29</v>
      </c>
    </row>
    <row r="31" spans="1:2">
      <c r="B31" t="s">
        <v>242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Design</vt:lpstr>
      <vt:lpstr>O86-09 Tables </vt:lpstr>
      <vt:lpstr>Dropdown List</vt:lpstr>
      <vt:lpstr>DFLA</vt:lpstr>
      <vt:lpstr>DFLB</vt:lpstr>
      <vt:lpstr>DFLC</vt:lpstr>
      <vt:lpstr>DFLD</vt:lpstr>
      <vt:lpstr>HFA</vt:lpstr>
      <vt:lpstr>HFB</vt:lpstr>
      <vt:lpstr>HFC</vt:lpstr>
      <vt:lpstr>HFD</vt:lpstr>
      <vt:lpstr>Kztable</vt:lpstr>
      <vt:lpstr>NA</vt:lpstr>
      <vt:lpstr>NB</vt:lpstr>
      <vt:lpstr>NC</vt:lpstr>
      <vt:lpstr>ND</vt:lpstr>
      <vt:lpstr>SPFA</vt:lpstr>
      <vt:lpstr>SPFB</vt:lpstr>
      <vt:lpstr>SPFC</vt:lpstr>
      <vt:lpstr>SPFD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Pro</dc:creator>
  <cp:lastModifiedBy>Jeffrey Erochko</cp:lastModifiedBy>
  <cp:lastPrinted>2014-04-01T05:41:01Z</cp:lastPrinted>
  <dcterms:created xsi:type="dcterms:W3CDTF">2014-03-29T17:21:42Z</dcterms:created>
  <dcterms:modified xsi:type="dcterms:W3CDTF">2014-04-25T15:13:13Z</dcterms:modified>
</cp:coreProperties>
</file>